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11\Odd111\všichni\2020\18 PSP říjen SR 2021\03 dokumentace\edit formát\"/>
    </mc:Choice>
  </mc:AlternateContent>
  <bookViews>
    <workbookView xWindow="-5580" yWindow="525" windowWidth="21975" windowHeight="15585" tabRatio="599"/>
  </bookViews>
  <sheets>
    <sheet name="MV_tab" sheetId="3" r:id="rId1"/>
    <sheet name="quasiMV" sheetId="4" r:id="rId2"/>
  </sheets>
  <definedNames>
    <definedName name="_xlnm.Print_Titles" localSheetId="0">MV_tab!$4:$5</definedName>
    <definedName name="_xlnm.Print_Titles" localSheetId="1">quasiMV!$5:$6</definedName>
    <definedName name="_xlnm.Print_Area" localSheetId="0">MV_tab!$B$1:$AP$92</definedName>
    <definedName name="_xlnm.Print_Area" localSheetId="1">quasiMV!$C$1:$AQ$38</definedName>
  </definedNames>
  <calcPr calcId="162913"/>
</workbook>
</file>

<file path=xl/calcChain.xml><?xml version="1.0" encoding="utf-8"?>
<calcChain xmlns="http://schemas.openxmlformats.org/spreadsheetml/2006/main">
  <c r="AP13" i="4" l="1"/>
  <c r="AP12" i="4"/>
  <c r="AP11" i="4"/>
  <c r="AP10" i="4"/>
  <c r="AP9" i="4"/>
  <c r="AP8" i="4"/>
  <c r="AO22" i="3" l="1"/>
  <c r="AN22" i="3"/>
  <c r="AM22" i="3"/>
  <c r="AO59" i="3"/>
  <c r="AO57" i="3"/>
  <c r="AO56" i="3"/>
  <c r="AO54" i="3"/>
  <c r="AO50" i="3"/>
  <c r="AO43" i="3"/>
  <c r="AO42" i="3"/>
  <c r="AO41" i="3"/>
  <c r="AO40" i="3"/>
  <c r="AO39" i="3"/>
  <c r="AO35" i="3"/>
  <c r="AO33" i="3"/>
  <c r="AO29" i="3"/>
  <c r="AO28" i="3"/>
  <c r="AO27" i="3"/>
  <c r="AO26" i="3"/>
  <c r="AO25" i="3"/>
  <c r="AO24" i="3"/>
  <c r="AO21" i="3"/>
  <c r="AO20" i="3"/>
  <c r="AO17" i="3"/>
  <c r="AO16" i="3"/>
  <c r="AO14" i="3"/>
  <c r="AO13" i="3"/>
  <c r="AO12" i="3"/>
  <c r="AO11" i="3"/>
  <c r="AO10" i="3"/>
  <c r="AO9" i="3"/>
  <c r="AO8" i="3"/>
  <c r="AN39" i="3" l="1"/>
  <c r="E36" i="4" l="1"/>
  <c r="J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E33" i="4"/>
  <c r="J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E30" i="4" l="1"/>
  <c r="F30" i="4"/>
  <c r="G30" i="4"/>
  <c r="H30" i="4"/>
  <c r="I30" i="4"/>
  <c r="L30" i="4"/>
  <c r="M30" i="4"/>
  <c r="N30" i="4"/>
  <c r="O30" i="4"/>
  <c r="P30" i="4"/>
  <c r="Q30" i="4"/>
  <c r="R30" i="4"/>
  <c r="S30" i="4"/>
  <c r="T30" i="4"/>
  <c r="V30" i="4"/>
  <c r="X30" i="4"/>
  <c r="Z30" i="4"/>
  <c r="AB30" i="4"/>
  <c r="AD30" i="4"/>
  <c r="AE36" i="4"/>
  <c r="AE33" i="4"/>
  <c r="AG36" i="4"/>
  <c r="AH36" i="4"/>
  <c r="AI36" i="4"/>
  <c r="AJ36" i="4"/>
  <c r="AK36" i="4"/>
  <c r="AL36" i="4"/>
  <c r="AM36" i="4"/>
  <c r="AF36" i="4"/>
  <c r="AG33" i="4"/>
  <c r="AH33" i="4"/>
  <c r="AI33" i="4"/>
  <c r="AJ33" i="4"/>
  <c r="AK33" i="4"/>
  <c r="AL33" i="4"/>
  <c r="AM33" i="4"/>
  <c r="AK60" i="3" l="1"/>
  <c r="AK39" i="3"/>
  <c r="AK26" i="3"/>
  <c r="AK28" i="3"/>
  <c r="AK16" i="3"/>
  <c r="AK14" i="3"/>
  <c r="AK11" i="3"/>
  <c r="AK10" i="3"/>
  <c r="AK8" i="3"/>
  <c r="AI57" i="3" l="1"/>
  <c r="AI60" i="3" s="1"/>
  <c r="AI35" i="3"/>
  <c r="AI33" i="3"/>
  <c r="AI20" i="3"/>
  <c r="AI22" i="3"/>
  <c r="AI25" i="3"/>
  <c r="AI26" i="3"/>
  <c r="AI28" i="3"/>
  <c r="AI16" i="3"/>
  <c r="AI14" i="3"/>
  <c r="AI12" i="3"/>
  <c r="AI11" i="3"/>
  <c r="AI10" i="3"/>
  <c r="AI8" i="3"/>
  <c r="AF33" i="4" l="1"/>
  <c r="AI7" i="3"/>
  <c r="AK7" i="3"/>
  <c r="AI44" i="3"/>
  <c r="AK44" i="3"/>
  <c r="AI51" i="3"/>
  <c r="AI61" i="3" s="1"/>
  <c r="AJ51" i="3"/>
  <c r="AK51" i="3"/>
  <c r="AK61" i="3" s="1"/>
  <c r="AE51" i="3"/>
  <c r="AE57" i="3"/>
  <c r="AE54" i="3"/>
  <c r="AE35" i="3"/>
  <c r="AE22" i="3"/>
  <c r="AE26" i="3"/>
  <c r="AE28" i="3"/>
  <c r="AE17" i="3"/>
  <c r="AE16" i="3"/>
  <c r="AE14" i="3"/>
  <c r="AE11" i="3"/>
  <c r="AE10" i="3"/>
  <c r="AE8" i="3"/>
  <c r="U60" i="3"/>
  <c r="U47" i="3"/>
  <c r="U51" i="3" s="1"/>
  <c r="U39" i="3"/>
  <c r="U35" i="3"/>
  <c r="U22" i="3"/>
  <c r="U11" i="3"/>
  <c r="U7" i="3" s="1"/>
  <c r="U88" i="3" s="1"/>
  <c r="S10" i="3"/>
  <c r="S11" i="3"/>
  <c r="S51" i="3"/>
  <c r="S60" i="3"/>
  <c r="V49" i="4"/>
  <c r="V48" i="4"/>
  <c r="V11" i="4"/>
  <c r="V9" i="4"/>
  <c r="V18" i="4" s="1"/>
  <c r="K13" i="4"/>
  <c r="K11" i="4"/>
  <c r="K10" i="4"/>
  <c r="K9" i="4"/>
  <c r="K8" i="4"/>
  <c r="AF11" i="4"/>
  <c r="AK90" i="3" l="1"/>
  <c r="AK84" i="3"/>
  <c r="AK78" i="3"/>
  <c r="AI89" i="3"/>
  <c r="AI77" i="3"/>
  <c r="AI83" i="3"/>
  <c r="AI90" i="3"/>
  <c r="AI84" i="3"/>
  <c r="AI78" i="3"/>
  <c r="AI88" i="3"/>
  <c r="AI82" i="3"/>
  <c r="AI76" i="3"/>
  <c r="AK88" i="3"/>
  <c r="AK82" i="3"/>
  <c r="AK76" i="3"/>
  <c r="AK89" i="3"/>
  <c r="AK83" i="3"/>
  <c r="AK77" i="3"/>
  <c r="AK63" i="3"/>
  <c r="AK91" i="3" s="1"/>
  <c r="S44" i="3"/>
  <c r="S77" i="3" s="1"/>
  <c r="AE60" i="3"/>
  <c r="AI63" i="3"/>
  <c r="V37" i="4"/>
  <c r="U44" i="3"/>
  <c r="U89" i="3" s="1"/>
  <c r="U61" i="3"/>
  <c r="U82" i="3"/>
  <c r="U76" i="3"/>
  <c r="S61" i="3"/>
  <c r="S78" i="3" s="1"/>
  <c r="S7" i="3"/>
  <c r="S88" i="3" s="1"/>
  <c r="K18" i="4"/>
  <c r="V31" i="4"/>
  <c r="V34" i="4"/>
  <c r="S83" i="3" l="1"/>
  <c r="S89" i="3"/>
  <c r="AK79" i="3"/>
  <c r="AK85" i="3"/>
  <c r="U77" i="3"/>
  <c r="U83" i="3"/>
  <c r="S82" i="3"/>
  <c r="AI91" i="3"/>
  <c r="AI85" i="3"/>
  <c r="AI79" i="3"/>
  <c r="S63" i="3"/>
  <c r="S79" i="3" s="1"/>
  <c r="S76" i="3"/>
  <c r="S90" i="3"/>
  <c r="S84" i="3"/>
  <c r="U90" i="3"/>
  <c r="U84" i="3"/>
  <c r="U78" i="3"/>
  <c r="U63" i="3"/>
  <c r="S85" i="3"/>
  <c r="S91" i="3"/>
  <c r="U91" i="3" l="1"/>
  <c r="U85" i="3"/>
  <c r="U79" i="3"/>
  <c r="U66" i="3"/>
  <c r="AJ11" i="4" l="1"/>
  <c r="AL57" i="3" l="1"/>
  <c r="AL16" i="3" l="1"/>
  <c r="AL30" i="4" l="1"/>
  <c r="AL18" i="4"/>
  <c r="AJ30" i="4"/>
  <c r="AJ18" i="4"/>
  <c r="AF30" i="4"/>
  <c r="AF18" i="4"/>
  <c r="AL31" i="4" l="1"/>
  <c r="AF37" i="4"/>
  <c r="AJ31" i="4"/>
  <c r="AF34" i="4"/>
  <c r="AL37" i="4"/>
  <c r="AL34" i="4"/>
  <c r="AJ34" i="4"/>
  <c r="AJ37" i="4"/>
  <c r="AF31" i="4"/>
  <c r="AO36" i="4"/>
  <c r="AN36" i="4"/>
  <c r="AO33" i="4"/>
  <c r="AN33" i="4"/>
  <c r="AM30" i="4" l="1"/>
  <c r="AM18" i="4"/>
  <c r="AL60" i="3"/>
  <c r="AL51" i="3"/>
  <c r="AL44" i="3"/>
  <c r="AL7" i="3"/>
  <c r="AL88" i="3" l="1"/>
  <c r="AL82" i="3"/>
  <c r="AL76" i="3"/>
  <c r="AL89" i="3"/>
  <c r="AL83" i="3"/>
  <c r="AL77" i="3"/>
  <c r="AL61" i="3"/>
  <c r="AM37" i="4"/>
  <c r="AM31" i="4"/>
  <c r="AM34" i="4"/>
  <c r="AL63" i="3" l="1"/>
  <c r="AL85" i="3" s="1"/>
  <c r="AL90" i="3"/>
  <c r="AL84" i="3"/>
  <c r="AL78" i="3"/>
  <c r="AK11" i="4"/>
  <c r="AL91" i="3" l="1"/>
  <c r="AL79" i="3"/>
  <c r="AJ26" i="3" l="1"/>
  <c r="AK30" i="4" l="1"/>
  <c r="AN30" i="4"/>
  <c r="AO30" i="4"/>
  <c r="AJ28" i="3" l="1"/>
  <c r="AJ11" i="3"/>
  <c r="AJ57" i="3" l="1"/>
  <c r="AJ60" i="3" s="1"/>
  <c r="AK9" i="4" l="1"/>
  <c r="AJ39" i="3"/>
  <c r="AH39" i="3"/>
  <c r="AJ16" i="3"/>
  <c r="AJ7" i="3" l="1"/>
  <c r="AJ44" i="3"/>
  <c r="AJ61" i="3"/>
  <c r="AJ90" i="3" l="1"/>
  <c r="AJ84" i="3"/>
  <c r="AJ78" i="3"/>
  <c r="AJ89" i="3"/>
  <c r="AJ83" i="3"/>
  <c r="AJ77" i="3"/>
  <c r="AJ88" i="3"/>
  <c r="AJ82" i="3"/>
  <c r="AJ76" i="3"/>
  <c r="AJ63" i="3"/>
  <c r="AJ79" i="3" l="1"/>
  <c r="AJ91" i="3"/>
  <c r="AJ85" i="3"/>
  <c r="AK18" i="4"/>
  <c r="AK31" i="4" l="1"/>
  <c r="AK34" i="4"/>
  <c r="AK37" i="4"/>
  <c r="AN18" i="4" l="1"/>
  <c r="Q72" i="3" l="1"/>
  <c r="AG10" i="4" l="1"/>
  <c r="AF43" i="3"/>
  <c r="AF40" i="3"/>
  <c r="AF28" i="3"/>
  <c r="AF23" i="3"/>
  <c r="AF11" i="3"/>
  <c r="AH42" i="3" l="1"/>
  <c r="AH12" i="3" l="1"/>
  <c r="AI11" i="4" l="1"/>
  <c r="AG11" i="4"/>
  <c r="AE11" i="4"/>
  <c r="AC11" i="4"/>
  <c r="AI30" i="4" l="1"/>
  <c r="AH30" i="4"/>
  <c r="AG30" i="4"/>
  <c r="AE30" i="4"/>
  <c r="AH57" i="3"/>
  <c r="AH54" i="3"/>
  <c r="AH28" i="3"/>
  <c r="AH26" i="3"/>
  <c r="AH16" i="3"/>
  <c r="AH11" i="3"/>
  <c r="AH7" i="3" s="1"/>
  <c r="AH88" i="3" s="1"/>
  <c r="AI9" i="4"/>
  <c r="AI18" i="4" s="1"/>
  <c r="AH51" i="3"/>
  <c r="AH44" i="3" l="1"/>
  <c r="AH89" i="3" s="1"/>
  <c r="AI37" i="4"/>
  <c r="AH60" i="3"/>
  <c r="AH61" i="3" s="1"/>
  <c r="AH76" i="3"/>
  <c r="AH82" i="3"/>
  <c r="AI34" i="4"/>
  <c r="AI31" i="4"/>
  <c r="AH83" i="3" l="1"/>
  <c r="AH63" i="3"/>
  <c r="AH77" i="3"/>
  <c r="AH90" i="3"/>
  <c r="AH84" i="3"/>
  <c r="AH78" i="3"/>
  <c r="AH85" i="3" l="1"/>
  <c r="AH79" i="3"/>
  <c r="AH91" i="3"/>
  <c r="AH18" i="4" l="1"/>
  <c r="AG60" i="3"/>
  <c r="AG51" i="3"/>
  <c r="AG44" i="3"/>
  <c r="AG83" i="3" s="1"/>
  <c r="AG7" i="3"/>
  <c r="AG88" i="3" s="1"/>
  <c r="AH34" i="4" l="1"/>
  <c r="AH31" i="4"/>
  <c r="AG89" i="3"/>
  <c r="AG76" i="3"/>
  <c r="AG82" i="3"/>
  <c r="AG77" i="3"/>
  <c r="AH37" i="4"/>
  <c r="AG61" i="3"/>
  <c r="AG63" i="3" l="1"/>
  <c r="AG90" i="3"/>
  <c r="AG84" i="3"/>
  <c r="AG78" i="3"/>
  <c r="AE44" i="3"/>
  <c r="AE7" i="3"/>
  <c r="AE76" i="3" l="1"/>
  <c r="AE88" i="3"/>
  <c r="AE82" i="3"/>
  <c r="AE83" i="3"/>
  <c r="AE77" i="3"/>
  <c r="AE89" i="3"/>
  <c r="AG91" i="3"/>
  <c r="AG85" i="3"/>
  <c r="AG79" i="3"/>
  <c r="AE61" i="3"/>
  <c r="AG18" i="4"/>
  <c r="AE63" i="3" l="1"/>
  <c r="AE85" i="3" s="1"/>
  <c r="AE84" i="3"/>
  <c r="AE78" i="3"/>
  <c r="AE90" i="3"/>
  <c r="AE91" i="3"/>
  <c r="AG31" i="4"/>
  <c r="AE79" i="3" l="1"/>
  <c r="AD11" i="3"/>
  <c r="AF26" i="3" l="1"/>
  <c r="AF39" i="3"/>
  <c r="AF57" i="3" l="1"/>
  <c r="AF60" i="3" s="1"/>
  <c r="AF51" i="3"/>
  <c r="AF44" i="3"/>
  <c r="AF7" i="3"/>
  <c r="AF88" i="3" s="1"/>
  <c r="AF61" i="3" l="1"/>
  <c r="AF90" i="3" s="1"/>
  <c r="AF89" i="3"/>
  <c r="AF83" i="3"/>
  <c r="AF77" i="3"/>
  <c r="AF76" i="3"/>
  <c r="AF82" i="3"/>
  <c r="AF63" i="3" l="1"/>
  <c r="AF84" i="3"/>
  <c r="AF78" i="3"/>
  <c r="AF85" i="3" l="1"/>
  <c r="AF79" i="3"/>
  <c r="AF91" i="3"/>
  <c r="AC30" i="4" l="1"/>
  <c r="Z75" i="3"/>
  <c r="AA30" i="4" s="1"/>
  <c r="X75" i="3"/>
  <c r="Y30" i="4" s="1"/>
  <c r="V75" i="3" l="1"/>
  <c r="W30" i="4" s="1"/>
  <c r="T75" i="3"/>
  <c r="V45" i="4" l="1"/>
  <c r="U30" i="4"/>
  <c r="AD60" i="3"/>
  <c r="AD18" i="4" l="1"/>
  <c r="AE18" i="4"/>
  <c r="AE31" i="4" l="1"/>
  <c r="AE37" i="4"/>
  <c r="AE34" i="4"/>
  <c r="AD31" i="4"/>
  <c r="AD34" i="4"/>
  <c r="AD37" i="4"/>
  <c r="AD51" i="3"/>
  <c r="AD61" i="3" s="1"/>
  <c r="AD44" i="3"/>
  <c r="AD7" i="3"/>
  <c r="AD89" i="3" l="1"/>
  <c r="AD83" i="3"/>
  <c r="AD77" i="3"/>
  <c r="AD88" i="3"/>
  <c r="AD82" i="3"/>
  <c r="AD76" i="3"/>
  <c r="AD90" i="3"/>
  <c r="AD84" i="3"/>
  <c r="AD78" i="3"/>
  <c r="AD63" i="3"/>
  <c r="AD91" i="3" l="1"/>
  <c r="AD85" i="3"/>
  <c r="AD79" i="3"/>
  <c r="Y47" i="3"/>
  <c r="Y51" i="3" s="1"/>
  <c r="Y43" i="3"/>
  <c r="Y40" i="3"/>
  <c r="Y39" i="3"/>
  <c r="Y29" i="3"/>
  <c r="W47" i="3"/>
  <c r="W51" i="3" s="1"/>
  <c r="W43" i="3"/>
  <c r="W39" i="3"/>
  <c r="W29" i="3"/>
  <c r="Q59" i="3"/>
  <c r="Q60" i="3" s="1"/>
  <c r="Q47" i="3"/>
  <c r="Q22" i="3"/>
  <c r="Q44" i="3" s="1"/>
  <c r="Q89" i="3" s="1"/>
  <c r="P16" i="3"/>
  <c r="P44" i="3" s="1"/>
  <c r="P77" i="3" s="1"/>
  <c r="O11" i="3"/>
  <c r="O44" i="3" s="1"/>
  <c r="N26" i="3"/>
  <c r="N20" i="3"/>
  <c r="K51" i="3"/>
  <c r="K60" i="3"/>
  <c r="K44" i="3"/>
  <c r="K83" i="3" s="1"/>
  <c r="K7" i="3"/>
  <c r="K88" i="3" s="1"/>
  <c r="I54" i="3"/>
  <c r="I10" i="3"/>
  <c r="H29" i="3"/>
  <c r="H26" i="3"/>
  <c r="H44" i="3" s="1"/>
  <c r="H77" i="3" s="1"/>
  <c r="F15" i="3"/>
  <c r="E26" i="3"/>
  <c r="E12" i="3"/>
  <c r="D27" i="3"/>
  <c r="D8" i="3"/>
  <c r="D7" i="3" s="1"/>
  <c r="D88" i="3" s="1"/>
  <c r="AN49" i="4"/>
  <c r="Z37" i="4"/>
  <c r="X37" i="4"/>
  <c r="T37" i="4"/>
  <c r="R37" i="4"/>
  <c r="P37" i="4"/>
  <c r="N37" i="4"/>
  <c r="AN48" i="4"/>
  <c r="Z34" i="4"/>
  <c r="X34" i="4"/>
  <c r="T34" i="4"/>
  <c r="R34" i="4"/>
  <c r="P34" i="4"/>
  <c r="N34" i="4"/>
  <c r="AB45" i="4"/>
  <c r="Z31" i="4"/>
  <c r="X31" i="4"/>
  <c r="T31" i="4"/>
  <c r="R31" i="4"/>
  <c r="P31" i="4"/>
  <c r="N31" i="4"/>
  <c r="L48" i="4"/>
  <c r="N48" i="4"/>
  <c r="O48" i="4"/>
  <c r="P48" i="4"/>
  <c r="Q48" i="4"/>
  <c r="R48" i="4"/>
  <c r="S48" i="4"/>
  <c r="T48" i="4"/>
  <c r="U48" i="4"/>
  <c r="W48" i="4"/>
  <c r="X48" i="4"/>
  <c r="Y48" i="4"/>
  <c r="Z48" i="4"/>
  <c r="AA48" i="4"/>
  <c r="AB48" i="4"/>
  <c r="AC48" i="4"/>
  <c r="L49" i="4"/>
  <c r="N49" i="4"/>
  <c r="O49" i="4"/>
  <c r="P49" i="4"/>
  <c r="Q49" i="4"/>
  <c r="R49" i="4"/>
  <c r="S49" i="4"/>
  <c r="T49" i="4"/>
  <c r="U49" i="4"/>
  <c r="W49" i="4"/>
  <c r="X49" i="4"/>
  <c r="Y49" i="4"/>
  <c r="Z49" i="4"/>
  <c r="AA49" i="4"/>
  <c r="AB49" i="4"/>
  <c r="AC49" i="4"/>
  <c r="E49" i="4"/>
  <c r="E48" i="4"/>
  <c r="F45" i="4"/>
  <c r="G45" i="4"/>
  <c r="H45" i="4"/>
  <c r="I45" i="4"/>
  <c r="L45" i="4"/>
  <c r="M45" i="4"/>
  <c r="N45" i="4"/>
  <c r="O45" i="4"/>
  <c r="P45" i="4"/>
  <c r="Q45" i="4"/>
  <c r="R45" i="4"/>
  <c r="S45" i="4"/>
  <c r="T45" i="4"/>
  <c r="U45" i="4"/>
  <c r="W45" i="4"/>
  <c r="X45" i="4"/>
  <c r="Y45" i="4"/>
  <c r="Z45" i="4"/>
  <c r="AA45" i="4"/>
  <c r="AC45" i="4"/>
  <c r="AN45" i="4"/>
  <c r="E45" i="4"/>
  <c r="AB9" i="4"/>
  <c r="AB11" i="4"/>
  <c r="AC18" i="4"/>
  <c r="AB51" i="3"/>
  <c r="AB16" i="3"/>
  <c r="AB44" i="3" s="1"/>
  <c r="AB60" i="3"/>
  <c r="D38" i="4"/>
  <c r="AA60" i="3"/>
  <c r="AA51" i="3"/>
  <c r="AA44" i="3"/>
  <c r="AA77" i="3" s="1"/>
  <c r="AA7" i="3"/>
  <c r="AA76" i="3" s="1"/>
  <c r="J8" i="4"/>
  <c r="L8" i="4"/>
  <c r="M8" i="4"/>
  <c r="O8" i="4"/>
  <c r="Q8" i="4"/>
  <c r="E9" i="4"/>
  <c r="F9" i="4"/>
  <c r="G9" i="4"/>
  <c r="H9" i="4"/>
  <c r="I9" i="4"/>
  <c r="J9" i="4"/>
  <c r="L9" i="4"/>
  <c r="M9" i="4"/>
  <c r="O9" i="4"/>
  <c r="Q9" i="4"/>
  <c r="S9" i="4"/>
  <c r="U9" i="4"/>
  <c r="W9" i="4"/>
  <c r="Y9" i="4"/>
  <c r="AA9" i="4"/>
  <c r="E10" i="4"/>
  <c r="F10" i="4"/>
  <c r="G10" i="4"/>
  <c r="H10" i="4"/>
  <c r="I10" i="4"/>
  <c r="J10" i="4"/>
  <c r="L10" i="4"/>
  <c r="M10" i="4"/>
  <c r="Q10" i="4"/>
  <c r="G11" i="4"/>
  <c r="H11" i="4"/>
  <c r="I11" i="4"/>
  <c r="J11" i="4"/>
  <c r="L11" i="4"/>
  <c r="M11" i="4"/>
  <c r="O11" i="4"/>
  <c r="Q11" i="4"/>
  <c r="S11" i="4"/>
  <c r="U11" i="4"/>
  <c r="W11" i="4"/>
  <c r="Y11" i="4"/>
  <c r="AA11" i="4"/>
  <c r="H13" i="4"/>
  <c r="I13" i="4"/>
  <c r="J13" i="4"/>
  <c r="L13" i="4"/>
  <c r="M13" i="4"/>
  <c r="O13" i="4"/>
  <c r="J14" i="4"/>
  <c r="L14" i="4"/>
  <c r="Z60" i="3"/>
  <c r="Z51" i="3"/>
  <c r="Z44" i="3"/>
  <c r="Z89" i="3" s="1"/>
  <c r="Z7" i="3"/>
  <c r="Z88" i="3" s="1"/>
  <c r="Y7" i="3"/>
  <c r="Y88" i="3" s="1"/>
  <c r="Y60" i="3"/>
  <c r="W7" i="3"/>
  <c r="W88" i="3" s="1"/>
  <c r="X7" i="3"/>
  <c r="X88" i="3" s="1"/>
  <c r="X44" i="3"/>
  <c r="X89" i="3" s="1"/>
  <c r="W60" i="3"/>
  <c r="X60" i="3"/>
  <c r="X51" i="3"/>
  <c r="V60" i="3"/>
  <c r="V7" i="3"/>
  <c r="V88" i="3" s="1"/>
  <c r="V44" i="3"/>
  <c r="V89" i="3" s="1"/>
  <c r="V51" i="3"/>
  <c r="T7" i="3"/>
  <c r="T88" i="3" s="1"/>
  <c r="T44" i="3"/>
  <c r="T77" i="3" s="1"/>
  <c r="T51" i="3"/>
  <c r="T60" i="3"/>
  <c r="R60" i="3"/>
  <c r="R7" i="3"/>
  <c r="R88" i="3" s="1"/>
  <c r="R44" i="3"/>
  <c r="R89" i="3" s="1"/>
  <c r="R51" i="3"/>
  <c r="Q51" i="3"/>
  <c r="Q7" i="3"/>
  <c r="Q88" i="3" s="1"/>
  <c r="P51" i="3"/>
  <c r="P60" i="3"/>
  <c r="O51" i="3"/>
  <c r="O60" i="3"/>
  <c r="J75" i="3"/>
  <c r="K30" i="4" s="1"/>
  <c r="N7" i="3"/>
  <c r="N88" i="3" s="1"/>
  <c r="N51" i="3"/>
  <c r="N60" i="3"/>
  <c r="F8" i="3"/>
  <c r="F9" i="3"/>
  <c r="F11" i="3"/>
  <c r="E11" i="3"/>
  <c r="G7" i="3"/>
  <c r="G76" i="3" s="1"/>
  <c r="H7" i="3"/>
  <c r="H76" i="3" s="1"/>
  <c r="J7" i="3"/>
  <c r="I8" i="3"/>
  <c r="I9" i="3"/>
  <c r="I11" i="3"/>
  <c r="I12" i="3"/>
  <c r="I14" i="3"/>
  <c r="I15" i="3"/>
  <c r="L7" i="3"/>
  <c r="M8" i="3"/>
  <c r="M9" i="3"/>
  <c r="M10" i="3"/>
  <c r="M12" i="3"/>
  <c r="M14" i="3"/>
  <c r="M16" i="3"/>
  <c r="M28" i="3"/>
  <c r="M25" i="3"/>
  <c r="M22" i="3"/>
  <c r="M21" i="3"/>
  <c r="M57" i="3"/>
  <c r="M39" i="3"/>
  <c r="M49" i="4"/>
  <c r="M48" i="4"/>
  <c r="J81" i="3"/>
  <c r="K33" i="4" s="1"/>
  <c r="J87" i="3"/>
  <c r="K36" i="4" s="1"/>
  <c r="H81" i="3"/>
  <c r="G81" i="3"/>
  <c r="H87" i="3"/>
  <c r="G87" i="3"/>
  <c r="F81" i="3"/>
  <c r="E81" i="3"/>
  <c r="J49" i="4"/>
  <c r="J48" i="4"/>
  <c r="F87" i="3"/>
  <c r="E87" i="3"/>
  <c r="J60" i="3"/>
  <c r="J51" i="3"/>
  <c r="J26" i="3"/>
  <c r="J44" i="3" s="1"/>
  <c r="M54" i="3"/>
  <c r="M59" i="3"/>
  <c r="M56" i="3"/>
  <c r="M35" i="3"/>
  <c r="M33" i="3"/>
  <c r="M26" i="3"/>
  <c r="M51" i="3"/>
  <c r="L60" i="3"/>
  <c r="L51" i="3"/>
  <c r="L44" i="3"/>
  <c r="L77" i="3" s="1"/>
  <c r="I75" i="3"/>
  <c r="H60" i="3"/>
  <c r="H51" i="3"/>
  <c r="I37" i="3"/>
  <c r="I22" i="3"/>
  <c r="I56" i="3"/>
  <c r="I28" i="3"/>
  <c r="I50" i="3"/>
  <c r="I43" i="3"/>
  <c r="I59" i="3"/>
  <c r="I29" i="3"/>
  <c r="G51" i="3"/>
  <c r="I26" i="3"/>
  <c r="I33" i="3"/>
  <c r="I36" i="3"/>
  <c r="I51" i="3"/>
  <c r="I57" i="3"/>
  <c r="G60" i="3"/>
  <c r="G44" i="3"/>
  <c r="G77" i="3" s="1"/>
  <c r="F57" i="3"/>
  <c r="E57" i="3"/>
  <c r="D60" i="3"/>
  <c r="D51" i="3"/>
  <c r="F47" i="3"/>
  <c r="F51" i="3" s="1"/>
  <c r="F26" i="3"/>
  <c r="F22" i="3"/>
  <c r="F27" i="3"/>
  <c r="F33" i="3"/>
  <c r="F56" i="3"/>
  <c r="E56" i="3"/>
  <c r="E27" i="3"/>
  <c r="E51" i="3"/>
  <c r="G36" i="4" l="1"/>
  <c r="G49" i="4" s="1"/>
  <c r="G33" i="4"/>
  <c r="G48" i="4" s="1"/>
  <c r="I33" i="4"/>
  <c r="I48" i="4" s="1"/>
  <c r="J30" i="4"/>
  <c r="J45" i="4" s="1"/>
  <c r="H36" i="4"/>
  <c r="K37" i="4"/>
  <c r="K49" i="4"/>
  <c r="I36" i="4"/>
  <c r="K34" i="4"/>
  <c r="K48" i="4"/>
  <c r="F36" i="4"/>
  <c r="F33" i="4"/>
  <c r="F48" i="4" s="1"/>
  <c r="H33" i="4"/>
  <c r="H48" i="4" s="1"/>
  <c r="K45" i="4"/>
  <c r="K31" i="4"/>
  <c r="O7" i="3"/>
  <c r="O88" i="3" s="1"/>
  <c r="Z83" i="3"/>
  <c r="W44" i="3"/>
  <c r="W89" i="3" s="1"/>
  <c r="P7" i="3"/>
  <c r="P82" i="3" s="1"/>
  <c r="Z77" i="3"/>
  <c r="Y76" i="3"/>
  <c r="AB61" i="3"/>
  <c r="AB63" i="3" s="1"/>
  <c r="K89" i="3"/>
  <c r="T82" i="3"/>
  <c r="E7" i="3"/>
  <c r="E82" i="3" s="1"/>
  <c r="G18" i="4"/>
  <c r="G31" i="4" s="1"/>
  <c r="Y18" i="4"/>
  <c r="U18" i="4"/>
  <c r="L18" i="4"/>
  <c r="T76" i="3"/>
  <c r="AB7" i="3"/>
  <c r="AB88" i="3" s="1"/>
  <c r="X82" i="3"/>
  <c r="G88" i="3"/>
  <c r="R77" i="3"/>
  <c r="W18" i="4"/>
  <c r="S18" i="4"/>
  <c r="F18" i="4"/>
  <c r="J18" i="4"/>
  <c r="E18" i="4"/>
  <c r="E34" i="4" s="1"/>
  <c r="W76" i="3"/>
  <c r="P83" i="3"/>
  <c r="F7" i="3"/>
  <c r="F76" i="3" s="1"/>
  <c r="L83" i="3"/>
  <c r="N76" i="3"/>
  <c r="J76" i="3"/>
  <c r="N44" i="3"/>
  <c r="N89" i="3" s="1"/>
  <c r="W82" i="3"/>
  <c r="N82" i="3"/>
  <c r="Q77" i="3"/>
  <c r="E60" i="3"/>
  <c r="E61" i="3" s="1"/>
  <c r="F60" i="3"/>
  <c r="F61" i="3" s="1"/>
  <c r="J89" i="3"/>
  <c r="D44" i="3"/>
  <c r="D83" i="3" s="1"/>
  <c r="Y44" i="3"/>
  <c r="Y83" i="3" s="1"/>
  <c r="Y61" i="3"/>
  <c r="Y90" i="3" s="1"/>
  <c r="X83" i="3"/>
  <c r="X77" i="3"/>
  <c r="Q76" i="3"/>
  <c r="Y82" i="3"/>
  <c r="O89" i="3"/>
  <c r="O77" i="3"/>
  <c r="P89" i="3"/>
  <c r="AA83" i="3"/>
  <c r="Q83" i="3"/>
  <c r="V82" i="3"/>
  <c r="J88" i="3"/>
  <c r="E44" i="3"/>
  <c r="E83" i="3" s="1"/>
  <c r="L82" i="3"/>
  <c r="P61" i="3"/>
  <c r="P78" i="3" s="1"/>
  <c r="R61" i="3"/>
  <c r="R84" i="3" s="1"/>
  <c r="Z61" i="3"/>
  <c r="Z90" i="3" s="1"/>
  <c r="O83" i="3"/>
  <c r="H89" i="3"/>
  <c r="V77" i="3"/>
  <c r="D76" i="3"/>
  <c r="H83" i="3"/>
  <c r="R82" i="3"/>
  <c r="R76" i="3"/>
  <c r="L89" i="3"/>
  <c r="H18" i="4"/>
  <c r="Q18" i="4"/>
  <c r="O18" i="4"/>
  <c r="AB18" i="4"/>
  <c r="AA18" i="4"/>
  <c r="M18" i="4"/>
  <c r="I18" i="4"/>
  <c r="AO49" i="4"/>
  <c r="F44" i="3"/>
  <c r="F77" i="3" s="1"/>
  <c r="K77" i="3"/>
  <c r="I60" i="3"/>
  <c r="I61" i="3" s="1"/>
  <c r="I78" i="3" s="1"/>
  <c r="I44" i="3"/>
  <c r="I77" i="3" s="1"/>
  <c r="J82" i="3"/>
  <c r="J61" i="3"/>
  <c r="J63" i="3" s="1"/>
  <c r="J91" i="3" s="1"/>
  <c r="O61" i="3"/>
  <c r="O78" i="3" s="1"/>
  <c r="AB89" i="3"/>
  <c r="AB77" i="3"/>
  <c r="AB83" i="3"/>
  <c r="D61" i="3"/>
  <c r="D84" i="3" s="1"/>
  <c r="H61" i="3"/>
  <c r="H84" i="3" s="1"/>
  <c r="J83" i="3"/>
  <c r="M60" i="3"/>
  <c r="M61" i="3" s="1"/>
  <c r="G82" i="3"/>
  <c r="X61" i="3"/>
  <c r="X84" i="3" s="1"/>
  <c r="M44" i="3"/>
  <c r="M83" i="3" s="1"/>
  <c r="L88" i="3"/>
  <c r="I7" i="3"/>
  <c r="I76" i="3" s="1"/>
  <c r="Q61" i="3"/>
  <c r="Q84" i="3" s="1"/>
  <c r="N61" i="3"/>
  <c r="N84" i="3" s="1"/>
  <c r="V61" i="3"/>
  <c r="V78" i="3" s="1"/>
  <c r="K61" i="3"/>
  <c r="K63" i="3" s="1"/>
  <c r="G61" i="3"/>
  <c r="G84" i="3" s="1"/>
  <c r="T61" i="3"/>
  <c r="T90" i="3" s="1"/>
  <c r="AA61" i="3"/>
  <c r="AA84" i="3" s="1"/>
  <c r="V83" i="3"/>
  <c r="Q82" i="3"/>
  <c r="J77" i="3"/>
  <c r="AA89" i="3"/>
  <c r="Z76" i="3"/>
  <c r="Z82" i="3"/>
  <c r="X76" i="3"/>
  <c r="AA88" i="3"/>
  <c r="H88" i="3"/>
  <c r="G83" i="3"/>
  <c r="T89" i="3"/>
  <c r="L61" i="3"/>
  <c r="L78" i="3" s="1"/>
  <c r="T83" i="3"/>
  <c r="W61" i="3"/>
  <c r="W84" i="3" s="1"/>
  <c r="AA82" i="3"/>
  <c r="AM51" i="3"/>
  <c r="AN60" i="3"/>
  <c r="AM44" i="3"/>
  <c r="AM60" i="3"/>
  <c r="AO60" i="3" s="1"/>
  <c r="E76" i="3"/>
  <c r="I31" i="4"/>
  <c r="D82" i="3"/>
  <c r="G89" i="3"/>
  <c r="M7" i="3"/>
  <c r="L76" i="3"/>
  <c r="H82" i="3"/>
  <c r="R83" i="3"/>
  <c r="V76" i="3"/>
  <c r="AM7" i="3"/>
  <c r="AC31" i="4"/>
  <c r="AC37" i="4"/>
  <c r="AC34" i="4"/>
  <c r="K76" i="3"/>
  <c r="K82" i="3"/>
  <c r="O82" i="3" l="1"/>
  <c r="O76" i="3"/>
  <c r="G37" i="4"/>
  <c r="G34" i="4"/>
  <c r="F34" i="4"/>
  <c r="I37" i="4"/>
  <c r="U37" i="4"/>
  <c r="F49" i="4"/>
  <c r="I49" i="4"/>
  <c r="W37" i="4"/>
  <c r="Y37" i="4"/>
  <c r="H49" i="4"/>
  <c r="W77" i="3"/>
  <c r="P88" i="3"/>
  <c r="AB82" i="3"/>
  <c r="AB90" i="3"/>
  <c r="W83" i="3"/>
  <c r="AB76" i="3"/>
  <c r="P76" i="3"/>
  <c r="F88" i="3"/>
  <c r="AB78" i="3"/>
  <c r="E89" i="3"/>
  <c r="AB84" i="3"/>
  <c r="R90" i="3"/>
  <c r="E88" i="3"/>
  <c r="V84" i="3"/>
  <c r="F89" i="3"/>
  <c r="Y89" i="3"/>
  <c r="I84" i="3"/>
  <c r="N90" i="3"/>
  <c r="F82" i="3"/>
  <c r="Y31" i="4"/>
  <c r="Y34" i="4"/>
  <c r="AA37" i="4"/>
  <c r="H34" i="4"/>
  <c r="L34" i="4"/>
  <c r="L37" i="4"/>
  <c r="AB34" i="4"/>
  <c r="S37" i="4"/>
  <c r="U31" i="4"/>
  <c r="I34" i="4"/>
  <c r="O37" i="4"/>
  <c r="W34" i="4"/>
  <c r="M34" i="4"/>
  <c r="Q34" i="4"/>
  <c r="J37" i="4"/>
  <c r="Q31" i="4"/>
  <c r="J31" i="4"/>
  <c r="U34" i="4"/>
  <c r="J34" i="4"/>
  <c r="L31" i="4"/>
  <c r="F37" i="4"/>
  <c r="S34" i="4"/>
  <c r="S31" i="4"/>
  <c r="AB31" i="4"/>
  <c r="O34" i="4"/>
  <c r="J78" i="3"/>
  <c r="H31" i="4"/>
  <c r="I89" i="3"/>
  <c r="H37" i="4"/>
  <c r="AA34" i="4"/>
  <c r="D63" i="3"/>
  <c r="D85" i="3" s="1"/>
  <c r="I90" i="3"/>
  <c r="O31" i="4"/>
  <c r="AA31" i="4"/>
  <c r="L90" i="3"/>
  <c r="P90" i="3"/>
  <c r="P84" i="3"/>
  <c r="AB37" i="4"/>
  <c r="W31" i="4"/>
  <c r="E37" i="4"/>
  <c r="M37" i="4"/>
  <c r="F31" i="4"/>
  <c r="E31" i="4"/>
  <c r="Z84" i="3"/>
  <c r="E77" i="3"/>
  <c r="R63" i="3"/>
  <c r="R85" i="3" s="1"/>
  <c r="H63" i="3"/>
  <c r="H85" i="3" s="1"/>
  <c r="J84" i="3"/>
  <c r="N77" i="3"/>
  <c r="N83" i="3"/>
  <c r="O63" i="3"/>
  <c r="O79" i="3" s="1"/>
  <c r="P63" i="3"/>
  <c r="P91" i="3" s="1"/>
  <c r="Z78" i="3"/>
  <c r="E84" i="3"/>
  <c r="E78" i="3"/>
  <c r="E90" i="3"/>
  <c r="F83" i="3"/>
  <c r="X78" i="3"/>
  <c r="I83" i="3"/>
  <c r="Z63" i="3"/>
  <c r="Z79" i="3" s="1"/>
  <c r="Y63" i="3"/>
  <c r="Y85" i="3" s="1"/>
  <c r="Y77" i="3"/>
  <c r="K90" i="3"/>
  <c r="Q78" i="3"/>
  <c r="I63" i="3"/>
  <c r="I91" i="3" s="1"/>
  <c r="J90" i="3"/>
  <c r="D77" i="3"/>
  <c r="Y78" i="3"/>
  <c r="D89" i="3"/>
  <c r="F84" i="3"/>
  <c r="F78" i="3"/>
  <c r="F90" i="3"/>
  <c r="X90" i="3"/>
  <c r="X63" i="3"/>
  <c r="H90" i="3"/>
  <c r="AA90" i="3"/>
  <c r="E63" i="3"/>
  <c r="Y84" i="3"/>
  <c r="Q37" i="4"/>
  <c r="M31" i="4"/>
  <c r="K78" i="3"/>
  <c r="O84" i="3"/>
  <c r="K84" i="3"/>
  <c r="O90" i="3"/>
  <c r="R78" i="3"/>
  <c r="W78" i="3"/>
  <c r="G63" i="3"/>
  <c r="G85" i="3" s="1"/>
  <c r="AA63" i="3"/>
  <c r="F63" i="3"/>
  <c r="F91" i="3" s="1"/>
  <c r="M90" i="3"/>
  <c r="M78" i="3"/>
  <c r="G90" i="3"/>
  <c r="M77" i="3"/>
  <c r="H78" i="3"/>
  <c r="G78" i="3"/>
  <c r="T63" i="3"/>
  <c r="T91" i="3" s="1"/>
  <c r="V63" i="3"/>
  <c r="M89" i="3"/>
  <c r="T84" i="3"/>
  <c r="N78" i="3"/>
  <c r="AM61" i="3"/>
  <c r="AM78" i="3" s="1"/>
  <c r="AM89" i="3"/>
  <c r="T78" i="3"/>
  <c r="N63" i="3"/>
  <c r="N91" i="3" s="1"/>
  <c r="Q90" i="3"/>
  <c r="Q63" i="3"/>
  <c r="D78" i="3"/>
  <c r="D90" i="3"/>
  <c r="I88" i="3"/>
  <c r="I82" i="3"/>
  <c r="J85" i="3"/>
  <c r="J79" i="3"/>
  <c r="AA78" i="3"/>
  <c r="V90" i="3"/>
  <c r="AM77" i="3"/>
  <c r="W63" i="3"/>
  <c r="W90" i="3"/>
  <c r="L63" i="3"/>
  <c r="L84" i="3"/>
  <c r="M84" i="3"/>
  <c r="M63" i="3"/>
  <c r="AM83" i="3"/>
  <c r="K91" i="3"/>
  <c r="K85" i="3"/>
  <c r="K79" i="3"/>
  <c r="AM88" i="3"/>
  <c r="AM76" i="3"/>
  <c r="AM82" i="3"/>
  <c r="M88" i="3"/>
  <c r="M76" i="3"/>
  <c r="M82" i="3"/>
  <c r="AB91" i="3"/>
  <c r="AB85" i="3"/>
  <c r="AB79" i="3"/>
  <c r="I79" i="3" l="1"/>
  <c r="D79" i="3"/>
  <c r="O91" i="3"/>
  <c r="O85" i="3"/>
  <c r="H79" i="3"/>
  <c r="D91" i="3"/>
  <c r="G91" i="3"/>
  <c r="Y91" i="3"/>
  <c r="I85" i="3"/>
  <c r="R79" i="3"/>
  <c r="R91" i="3"/>
  <c r="H91" i="3"/>
  <c r="X79" i="3"/>
  <c r="P85" i="3"/>
  <c r="T79" i="3"/>
  <c r="X85" i="3"/>
  <c r="X91" i="3"/>
  <c r="P79" i="3"/>
  <c r="Y79" i="3"/>
  <c r="Z91" i="3"/>
  <c r="Z85" i="3"/>
  <c r="F85" i="3"/>
  <c r="F79" i="3"/>
  <c r="AA79" i="3"/>
  <c r="V85" i="3"/>
  <c r="E91" i="3"/>
  <c r="E79" i="3"/>
  <c r="E85" i="3"/>
  <c r="V91" i="3"/>
  <c r="G79" i="3"/>
  <c r="T85" i="3"/>
  <c r="V79" i="3"/>
  <c r="AA91" i="3"/>
  <c r="AA85" i="3"/>
  <c r="AM90" i="3"/>
  <c r="AM63" i="3"/>
  <c r="N85" i="3"/>
  <c r="AM84" i="3"/>
  <c r="N79" i="3"/>
  <c r="Q91" i="3"/>
  <c r="Q79" i="3"/>
  <c r="Q85" i="3"/>
  <c r="M91" i="3"/>
  <c r="M85" i="3"/>
  <c r="M79" i="3"/>
  <c r="L85" i="3"/>
  <c r="L91" i="3"/>
  <c r="L79" i="3"/>
  <c r="W85" i="3"/>
  <c r="W91" i="3"/>
  <c r="W79" i="3"/>
  <c r="AM79" i="3" l="1"/>
  <c r="AM85" i="3"/>
  <c r="AM91" i="3"/>
  <c r="AN34" i="4" l="1"/>
  <c r="AN37" i="4"/>
  <c r="AN31" i="4"/>
  <c r="AO45" i="4" l="1"/>
  <c r="AN7" i="3" l="1"/>
  <c r="AO7" i="3" s="1"/>
  <c r="AN88" i="3" l="1"/>
  <c r="AN76" i="3"/>
  <c r="AO18" i="4" l="1"/>
  <c r="AP18" i="4" s="1"/>
  <c r="AO37" i="4" l="1"/>
  <c r="AO31" i="4"/>
  <c r="AN51" i="3" l="1"/>
  <c r="AO51" i="3" s="1"/>
  <c r="AN44" i="3"/>
  <c r="AO44" i="3" s="1"/>
  <c r="AN61" i="3" l="1"/>
  <c r="AN89" i="3"/>
  <c r="AN77" i="3"/>
  <c r="AN63" i="3" l="1"/>
  <c r="AO63" i="3" s="1"/>
  <c r="AO61" i="3"/>
  <c r="AN90" i="3"/>
  <c r="AN78" i="3"/>
  <c r="AN91" i="3"/>
  <c r="AN79" i="3"/>
  <c r="AN82" i="3" l="1"/>
  <c r="AN84" i="3"/>
  <c r="AN83" i="3"/>
  <c r="AN85" i="3"/>
  <c r="AO48" i="4" l="1"/>
  <c r="AO34" i="4"/>
</calcChain>
</file>

<file path=xl/sharedStrings.xml><?xml version="1.0" encoding="utf-8"?>
<sst xmlns="http://schemas.openxmlformats.org/spreadsheetml/2006/main" count="230" uniqueCount="128">
  <si>
    <t>č. ř.</t>
  </si>
  <si>
    <t>TITUL MANDATORNÍCH VÝDAJŮ</t>
  </si>
  <si>
    <t>skuteč.</t>
  </si>
  <si>
    <t>rozpočet</t>
  </si>
  <si>
    <t>v mil. Kč</t>
  </si>
  <si>
    <t>A. MANDATORNÍ VÝDAJE VYPLÝVAJÍCÍ ZE ZÁKONA</t>
  </si>
  <si>
    <t>Dávky nemocenského pojištění</t>
  </si>
  <si>
    <t>Podpora v nezaměstnanosti-pasivní</t>
  </si>
  <si>
    <t>Státní příspěvek k penzijnímu pojištění</t>
  </si>
  <si>
    <t>Platba státu do zdravotního pojištění - VPS</t>
  </si>
  <si>
    <t>Výdaje na dluhovou službu</t>
  </si>
  <si>
    <t xml:space="preserve">Příspěvek státu na podporu stavebního spoření </t>
  </si>
  <si>
    <t xml:space="preserve">Výdaje na volby a příspěvek politickým stranám </t>
  </si>
  <si>
    <t>Pozemkové úpravy</t>
  </si>
  <si>
    <t xml:space="preserve">Dotace na podporu exportu -MF, EGAP, ČEB </t>
  </si>
  <si>
    <t>Úřad pro dohled nad družstevními záložnami</t>
  </si>
  <si>
    <t xml:space="preserve">Odchod. a náhr. za ztrátu na platu pro pracovníky HZS </t>
  </si>
  <si>
    <t>Bezpečnost a ochrana zdraví  při práci</t>
  </si>
  <si>
    <t>CELKEM MANDATORNÍ VÝDAJE VYPLÝVAJÍCÍ ZE ZÁKONA</t>
  </si>
  <si>
    <t xml:space="preserve">B. OSTATNÍ  MANDATORNÍ VÝDAJE </t>
  </si>
  <si>
    <t>I. VÝDAJE VYPLÝVAJÍCÍ Z JINÝCH PRÁVNÍCH NOREM</t>
  </si>
  <si>
    <t xml:space="preserve">Státní podpora hypotéčního úvěrování </t>
  </si>
  <si>
    <t>Novomanželské půjčky</t>
  </si>
  <si>
    <t>Vyplacení jednorázové náhrady ke zmírnění 
 některých křivd způsobených komunistickým režimem</t>
  </si>
  <si>
    <t>Souhrnné pojištění vozidel</t>
  </si>
  <si>
    <t>C E L K E M</t>
  </si>
  <si>
    <t>II. VÝDAJE VYPLÝVAJÍCÍ ZE SMLUVNÍCH ZÁVAZKŮ</t>
  </si>
  <si>
    <t>Úhrada realizovaných kurzových ztrát při splátkách
jistiny zahraničního státního dluhu</t>
  </si>
  <si>
    <t>Platba úroků za úvěry se zárukou, poskytnuté nemocnicím</t>
  </si>
  <si>
    <t>MANDATORNÍ VÝDAJE CELKEM (A+B)</t>
  </si>
  <si>
    <t>poznámky:</t>
  </si>
  <si>
    <t>Podílové ukazatele</t>
  </si>
  <si>
    <t>Podíl celkových mand. výdajů ze zákona (A) na HDP</t>
  </si>
  <si>
    <t>Podíl ostatních mand. výdajů (B) na HDP</t>
  </si>
  <si>
    <t>Podíl celkových mand. výdajů  (A+B) na HDP</t>
  </si>
  <si>
    <t>Podíl celkových mand. výdajů ze zákona (A) na výdajích SR</t>
  </si>
  <si>
    <t>Podíl ostatních mand. výdajů (B) na výdajích SR</t>
  </si>
  <si>
    <t>Podíl celkových mand. výdajů  (A+B) na výdajích SR</t>
  </si>
  <si>
    <t>Podíl celkových mand. výdajů ze zákona (A) na příjmech SR</t>
  </si>
  <si>
    <t>Podíl ostatních mand. výdajů (B) na příjmech SR</t>
  </si>
  <si>
    <t>Podíl celkových mand. výdajů  (A+B) na příjmech SR</t>
  </si>
  <si>
    <t>2) v roce 2000 uhrazeno z rezervy na sociální problémy</t>
  </si>
  <si>
    <t>Ochrana zaměstnanců při platební neschopnosti zaměstnavatelů</t>
  </si>
  <si>
    <t>Majetková újma pojišťoven z provozování zákonného pojištění odpovědnosti zaměstnavatele za škodu při pracovním úrazu a nemoci z povolání</t>
  </si>
  <si>
    <t>Dávky sociální péče prostřednictvím OkÚ a obcí</t>
  </si>
  <si>
    <t>Výběrová dětská rekreace - dětské domovy a ÚSP</t>
  </si>
  <si>
    <t>Vládní úvěry vč. plynárenských VIA a poplatků za ved.účtů</t>
  </si>
  <si>
    <t>CELKEM OSTATNÍ MANDATORNÍ VÝDAJE (B/I A B/II)</t>
  </si>
  <si>
    <t>Podíl sociálních transferů celkem vč.ochr.zam. (ř. 1.) na HDP</t>
  </si>
  <si>
    <t>Podíl sociálních transferů celkem vč.ochr.zam. (ř. 1.) na výdajích SR</t>
  </si>
  <si>
    <t>Podíl sociálních transferů celkem vč.ochr.zam. (ř. 1.) na příjmech SR</t>
  </si>
  <si>
    <t>7A</t>
  </si>
  <si>
    <t>Výdaje státního rozpočtu (v mil. Kč)</t>
  </si>
  <si>
    <t>Příjmy státního rozpočtu (v mil. Kč)</t>
  </si>
  <si>
    <t>Majetková újma peněžních ústavů</t>
  </si>
  <si>
    <t>Vypořádání závazků ČR vůči CME a Housing&amp;Construction</t>
  </si>
  <si>
    <t xml:space="preserve">     zahrnuty částečně v jiných výdajích)</t>
  </si>
  <si>
    <t>Minimální povinný příděl do FKSP státním podnikům</t>
  </si>
  <si>
    <t>Státní záruky (bez programu 398080) a negarantované úvěry s.o. Správa železniční dopravní cesty podle z.č. 77/2002 Sb.</t>
  </si>
  <si>
    <t xml:space="preserve">Úhrada ztráty z univerzální služby podle z.č. 127/2005 Sb. </t>
  </si>
  <si>
    <t>Odvody a příspěvky  do rozpočtu EU</t>
  </si>
  <si>
    <t>8A</t>
  </si>
  <si>
    <t>8B</t>
  </si>
  <si>
    <t>1)  ve skut. 2004 vliv výplaty jednorázových dávek</t>
  </si>
  <si>
    <t>3) v roce 2001 vč. prostředků na úhradu záporného salda pojistného na důchodové pojištění (výdaj kapitoly OSFA ve výši 4 384 mil. Kč)</t>
  </si>
  <si>
    <t xml:space="preserve">4) nárokové dotace zaměstnavatelům na základě právních předpisů určené na výplatu sociálních příspěvků zaměstnancům a na podporu zaměstnávání osob se sníženou pracovní schopností (v minulých letech byly prostředky </t>
  </si>
  <si>
    <t>HDP v běžných cenách (v mld. Kč)   *)</t>
  </si>
  <si>
    <r>
      <t xml:space="preserve">Dávky důchodového pojištění (vč.ozbrojených složek)  </t>
    </r>
    <r>
      <rPr>
        <vertAlign val="superscript"/>
        <sz val="10"/>
        <rFont val="Times New Roman CE"/>
        <family val="1"/>
        <charset val="238"/>
      </rPr>
      <t>3)</t>
    </r>
  </si>
  <si>
    <r>
      <t xml:space="preserve">Mandatorní sociální dotace zaměstnavatelům  </t>
    </r>
    <r>
      <rPr>
        <vertAlign val="superscript"/>
        <sz val="10"/>
        <rFont val="Times New Roman CE"/>
        <family val="1"/>
        <charset val="238"/>
      </rPr>
      <t>4)</t>
    </r>
  </si>
  <si>
    <r>
      <t xml:space="preserve">Jednorázová peněžní náhrada příslušníkům zahr.armád </t>
    </r>
    <r>
      <rPr>
        <vertAlign val="superscript"/>
        <sz val="10"/>
        <rFont val="Times New Roman CE"/>
        <family val="1"/>
        <charset val="238"/>
      </rPr>
      <t>2)</t>
    </r>
  </si>
  <si>
    <r>
      <t xml:space="preserve">Zdravotní péče azylantům a cizincům  </t>
    </r>
    <r>
      <rPr>
        <sz val="9"/>
        <rFont val="Times New Roman CE"/>
        <family val="1"/>
        <charset val="238"/>
      </rPr>
      <t>(od r. 2007 v kap. Min. vnitra)</t>
    </r>
  </si>
  <si>
    <t>5) v letech 2000-2004 zahrnuje dotace SZIF na regulaci trhu a správní výdaje, v r. 2000 zahrnuje i dotaci SFDI ve výši 3139 mil. Kč a v r. 2001 i dotaci SF ČR pro podporu a rozvoj české kinematografie ve výši 10 mil Kč</t>
  </si>
  <si>
    <r>
      <t xml:space="preserve">Dotace státním fondům -  (od r. 2005   pouze správní 
výdaje SZIF) </t>
    </r>
    <r>
      <rPr>
        <vertAlign val="superscript"/>
        <sz val="10"/>
        <rFont val="Times New Roman CE"/>
        <family val="1"/>
        <charset val="238"/>
      </rPr>
      <t>5)</t>
    </r>
  </si>
  <si>
    <t>8C</t>
  </si>
  <si>
    <t>výhled</t>
  </si>
  <si>
    <r>
      <t xml:space="preserve">Transfery mezinárodním  organizacím, platby MMF, SB, Česko německý fond budoucnosti </t>
    </r>
    <r>
      <rPr>
        <sz val="9"/>
        <rFont val="Times New Roman CE"/>
        <family val="1"/>
        <charset val="238"/>
      </rPr>
      <t>(v r. 2007 a 2008 v kap. MZV)</t>
    </r>
  </si>
  <si>
    <t>6) vč. prostředků převedených od r. 2008 do kap. MZV a bez prostředků převedených do kap. St. dluh</t>
  </si>
  <si>
    <t xml:space="preserve">Poplatky dluhové služby vč. úmoru SD </t>
  </si>
  <si>
    <t xml:space="preserve">Transfery na příspěvek na péči podle zákona o sociálních službách </t>
  </si>
  <si>
    <t>Transfery na dávky pomoci v hmotné nouzi a na dávky zdravotně postiženým - MPSV</t>
  </si>
  <si>
    <t>Sociální transfery vč. ochrany zaměstnanců a mandatorních sociálních dotací (ř. 2 až 8C)</t>
  </si>
  <si>
    <t>Soudní a mimosoud. rehab.a odškod. obětem trestní čin.a ostatní náhrady</t>
  </si>
  <si>
    <t>Jednorázová částka účastníkům národního boje a dalším osobám podle z.č. 261/2001 Sb. a odškodnění podle z.č. 172/2002 Sb. a další odškodnění osob (v r. 2008 a 2009 pouze dopad z.č. 357/2005 Sb.; v roce 2010 z.č. 357/2005, z.č. 212/2009 Sb. a NV č. 135/2009 Sb.)</t>
  </si>
  <si>
    <t>státní podpora hypot. úvěrování</t>
  </si>
  <si>
    <t>skutečnost</t>
  </si>
  <si>
    <t>Dotace státním fondům -  (od r. 2005   pouze správní výdaje SZIF)</t>
  </si>
  <si>
    <t>Církve</t>
  </si>
  <si>
    <t>Výdaje podle zákona o majektovém vyrovnání s církvemi a náboženskými společnostmi - finanční náhrada</t>
  </si>
  <si>
    <t>Konečné číslo v tabuce MV ve SR 2012,2013,2014</t>
  </si>
  <si>
    <t>VÝVOJ QUASI MANDATORNÍCH VÝDAJŮ</t>
  </si>
  <si>
    <t xml:space="preserve"> skuteč.</t>
  </si>
  <si>
    <t xml:space="preserve">skuteč. </t>
  </si>
  <si>
    <t xml:space="preserve">OSTATNÍ  QUASI MANDATORNÍ VÝDAJE </t>
  </si>
  <si>
    <t>Aktivní politika zaměstnanosti (bez kap. výdajů, bez prostředků EU)</t>
  </si>
  <si>
    <t xml:space="preserve">Kap. Min. obrany - bez soc. dávek </t>
  </si>
  <si>
    <t>2)</t>
  </si>
  <si>
    <t>1)</t>
  </si>
  <si>
    <t>3)</t>
  </si>
  <si>
    <t>Investiční pobídky - na daňovou povinnost</t>
  </si>
  <si>
    <t xml:space="preserve"> CELKEM </t>
  </si>
  <si>
    <t>1) v roce 2001 a 2002 vč. mezd a poj. a FKSP v kapitole Okresní úřady, které nebyly v min.letech součástí výdajů  SR, v roce 2003 bez zrušené kapitoly Okresní úřady</t>
  </si>
  <si>
    <t xml:space="preserve">    v roce 2007 vliv převodu příspěvkových organizací na veřejné výzkumné instituce</t>
  </si>
  <si>
    <t xml:space="preserve">    rok 2007 - další prostředky na platy zahrnuty v  kap. Všeobecná pokladní správa </t>
  </si>
  <si>
    <t xml:space="preserve">     rok 2009 - vyloučeno z regulace zaměstnanosti: RegŠ územních celků Operační program Vzdělávání pro konkurenceschopnost podle bodu VI/4 UV č. 1194/2008 a podle bodu III UV č. 1251/2008  </t>
  </si>
  <si>
    <t xml:space="preserve">     rok 2012 - v pojistném zahrnuto i pojistné z náhrad ústavních činitelů</t>
  </si>
  <si>
    <t>2) výdaje pro Viségradský fond od r. 2004 v pol. Transfery do zahraničí; v r. 2012 vč. prostředků EU 3 mil. Kč</t>
  </si>
  <si>
    <t>3) od r. 2008 bez platů a pojistného na administrativu; od roku 2013 příspěvek na podporu činnosti dotčených církví a náboženských společností</t>
  </si>
  <si>
    <t>Podíl quasi mand. výdajů   na HDP</t>
  </si>
  <si>
    <t>Podíl quasi mand. výdajů   na výdajích SR</t>
  </si>
  <si>
    <t>Podíl quasi mand. výdajů   na příjmech SR</t>
  </si>
  <si>
    <r>
      <t xml:space="preserve">Zahr. pomoc, humanitární pomoc (od r. 2009 v přísl. kapitolách), Viségradský fond </t>
    </r>
    <r>
      <rPr>
        <sz val="8"/>
        <rFont val="Times New Roman CE"/>
        <family val="1"/>
        <charset val="238"/>
      </rPr>
      <t>(do r. 2003)</t>
    </r>
  </si>
  <si>
    <t>kap. ČTÚ - čisté náklady představující nespravedlivou finanční zátěž držiteli poštovní licence</t>
  </si>
  <si>
    <t>Dotace na obnovitelné zdroje</t>
  </si>
  <si>
    <t>Ostatní sociální dávky (zvláštní soc. dávky přísl. ozbrojených sil)</t>
  </si>
  <si>
    <r>
      <t xml:space="preserve">Státní sociální podpora a pěstounská péče </t>
    </r>
    <r>
      <rPr>
        <vertAlign val="superscript"/>
        <sz val="10"/>
        <rFont val="Times New Roman CE"/>
        <family val="1"/>
        <charset val="238"/>
      </rPr>
      <t>1)</t>
    </r>
  </si>
  <si>
    <t>Mzdy OSS a  příspěvk. organizací vč. poj. a FKSP vč. EU a FM</t>
  </si>
  <si>
    <t>rozpočet - COVID III</t>
  </si>
  <si>
    <t>rozpočet- COVID III</t>
  </si>
  <si>
    <t xml:space="preserve">*) HDP podle makroekonomické predikce </t>
  </si>
  <si>
    <t xml:space="preserve">rozpočet </t>
  </si>
  <si>
    <t xml:space="preserve">Vývoj mandatorních výdajů </t>
  </si>
  <si>
    <t>Příloha č.1</t>
  </si>
  <si>
    <t xml:space="preserve"> (bez mezd zahrnutých v kapitole MO v rámci vojenských výdajů a bez kap. VPS),  (od roku 2014 bez pojistného za pěstouny §4136)</t>
  </si>
  <si>
    <t>13=12/11</t>
  </si>
  <si>
    <t>6)</t>
  </si>
  <si>
    <t>index 
2021/2020
v %</t>
  </si>
  <si>
    <t>index
 2021/2020
v %</t>
  </si>
  <si>
    <t>Platy duchovních a administrativy vč. pojistného (od r. 2008 bez administrativy)-příspěvek na podporu činnosti dotčených církví a náboženských spol.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</si>
</sst>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5" formatCode="#,##0\ &quot;Kč&quot;;\-#,##0\ &quot;Kč&quot;"/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0.0"/>
    <numFmt numFmtId="167" formatCode="#,##0.0"/>
    <numFmt numFmtId="168" formatCode="_(* #,##0_);_(* \(#,##0\);_(* &quot;-&quot;_);_(@_)"/>
    <numFmt numFmtId="169" formatCode="_(&quot;$&quot;* #,##0_);_(&quot;$&quot;* \(#,##0\);_(&quot;$&quot;* &quot;-&quot;_);_(@_)"/>
    <numFmt numFmtId="170" formatCode="General_)"/>
    <numFmt numFmtId="171" formatCode="0.0_)"/>
    <numFmt numFmtId="172" formatCode="m\o\n\th\ d\,\ \y\y\y\y"/>
    <numFmt numFmtId="173" formatCode="&quot;$&quot;#,##0\ ;\(&quot;$&quot;#,##0\)"/>
    <numFmt numFmtId="174" formatCode="\$#,##0\ ;\(\$#,##0\)"/>
    <numFmt numFmtId="175" formatCode="#,##0.00000"/>
    <numFmt numFmtId="176" formatCode="_-* #,##0.0_-;\-* #,##0.0_-;_-* &quot;-&quot;??_-;_-@_-"/>
  </numFmts>
  <fonts count="35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Times New Roman CE"/>
      <charset val="238"/>
    </font>
    <font>
      <b/>
      <i/>
      <sz val="10"/>
      <name val="Times New Roman CE"/>
      <charset val="238"/>
    </font>
    <font>
      <i/>
      <sz val="10"/>
      <name val="Times New Roman CE"/>
      <charset val="238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</font>
    <font>
      <u/>
      <sz val="8"/>
      <color rgb="FF417D95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"/>
      <color indexed="8"/>
      <name val="Courier"/>
      <family val="1"/>
      <charset val="238"/>
    </font>
    <font>
      <u/>
      <sz val="10"/>
      <color indexed="12"/>
      <name val="Times New Roman CE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"/>
      <color indexed="8"/>
      <name val="Courier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Courier"/>
      <family val="3"/>
      <charset val="238"/>
    </font>
    <font>
      <u/>
      <sz val="10"/>
      <color indexed="12"/>
      <name val="Arial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4"/>
      <name val="Times New Roman CE"/>
      <charset val="238"/>
    </font>
    <font>
      <b/>
      <sz val="14"/>
      <name val="Times New Roman CE"/>
      <family val="1"/>
      <charset val="238"/>
    </font>
    <font>
      <i/>
      <sz val="10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82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22">
    <xf numFmtId="0" fontId="0" fillId="0" borderId="0"/>
    <xf numFmtId="0" fontId="13" fillId="0" borderId="0"/>
    <xf numFmtId="0" fontId="18" fillId="0" borderId="0">
      <protection locked="0"/>
    </xf>
    <xf numFmtId="0" fontId="18" fillId="0" borderId="0">
      <protection locked="0"/>
    </xf>
    <xf numFmtId="169" fontId="14" fillId="0" borderId="0" applyFont="0" applyFill="0" applyBorder="0" applyAlignment="0" applyProtection="0"/>
    <xf numFmtId="0" fontId="18" fillId="0" borderId="0">
      <protection locked="0"/>
    </xf>
    <xf numFmtId="168" fontId="14" fillId="0" borderId="0" applyFont="0" applyFill="0" applyBorder="0" applyAlignment="0" applyProtection="0"/>
    <xf numFmtId="0" fontId="19" fillId="0" borderId="0" applyNumberFormat="0" applyFill="0" applyBorder="0">
      <protection locked="0"/>
    </xf>
    <xf numFmtId="0" fontId="16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/>
    <xf numFmtId="0" fontId="22" fillId="0" borderId="0">
      <protection locked="0"/>
    </xf>
    <xf numFmtId="0" fontId="22" fillId="0" borderId="0">
      <protection locked="0"/>
    </xf>
    <xf numFmtId="172" fontId="22" fillId="0" borderId="0">
      <protection locked="0"/>
    </xf>
    <xf numFmtId="0" fontId="22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2" fillId="0" borderId="0">
      <protection locked="0"/>
    </xf>
    <xf numFmtId="0" fontId="22" fillId="0" borderId="48">
      <protection locked="0"/>
    </xf>
    <xf numFmtId="0" fontId="17" fillId="0" borderId="0"/>
    <xf numFmtId="0" fontId="22" fillId="0" borderId="0">
      <protection locked="0"/>
    </xf>
    <xf numFmtId="0" fontId="18" fillId="0" borderId="0">
      <protection locked="0"/>
    </xf>
    <xf numFmtId="0" fontId="22" fillId="0" borderId="0">
      <protection locked="0"/>
    </xf>
    <xf numFmtId="0" fontId="18" fillId="0" borderId="0">
      <protection locked="0"/>
    </xf>
    <xf numFmtId="0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5" fontId="21" fillId="0" borderId="0" applyFont="0" applyFill="0" applyBorder="0" applyAlignment="0" applyProtection="0"/>
    <xf numFmtId="2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3" fillId="0" borderId="0">
      <alignment vertical="center"/>
    </xf>
    <xf numFmtId="0" fontId="23" fillId="0" borderId="0" applyNumberFormat="0" applyFill="0" applyBorder="0" applyAlignment="0" applyProtection="0"/>
    <xf numFmtId="0" fontId="17" fillId="0" borderId="0"/>
    <xf numFmtId="0" fontId="24" fillId="0" borderId="0"/>
    <xf numFmtId="170" fontId="25" fillId="0" borderId="0"/>
    <xf numFmtId="0" fontId="22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4" fillId="0" borderId="0"/>
    <xf numFmtId="0" fontId="24" fillId="0" borderId="0"/>
    <xf numFmtId="0" fontId="24" fillId="0" borderId="0"/>
    <xf numFmtId="170" fontId="25" fillId="0" borderId="0"/>
    <xf numFmtId="0" fontId="18" fillId="0" borderId="49">
      <protection locked="0"/>
    </xf>
    <xf numFmtId="170" fontId="25" fillId="0" borderId="0"/>
    <xf numFmtId="0" fontId="23" fillId="0" borderId="0" applyNumberFormat="0" applyFill="0" applyBorder="0" applyAlignment="0" applyProtection="0"/>
    <xf numFmtId="0" fontId="24" fillId="0" borderId="0"/>
    <xf numFmtId="0" fontId="14" fillId="0" borderId="0"/>
    <xf numFmtId="0" fontId="26" fillId="0" borderId="0" applyNumberFormat="0" applyFill="0" applyBorder="0">
      <protection locked="0"/>
    </xf>
    <xf numFmtId="0" fontId="14" fillId="0" borderId="0"/>
    <xf numFmtId="0" fontId="26" fillId="0" borderId="0" applyNumberFormat="0" applyFill="0" applyBorder="0">
      <protection locked="0"/>
    </xf>
    <xf numFmtId="0" fontId="24" fillId="0" borderId="0"/>
    <xf numFmtId="0" fontId="14" fillId="0" borderId="0"/>
    <xf numFmtId="0" fontId="26" fillId="0" borderId="0" applyNumberFormat="0" applyFill="0" applyBorder="0">
      <protection locked="0"/>
    </xf>
    <xf numFmtId="0" fontId="24" fillId="0" borderId="0"/>
    <xf numFmtId="0" fontId="14" fillId="0" borderId="0"/>
    <xf numFmtId="0" fontId="26" fillId="0" borderId="0" applyNumberFormat="0" applyFill="0" applyBorder="0">
      <protection locked="0"/>
    </xf>
    <xf numFmtId="0" fontId="24" fillId="0" borderId="0"/>
    <xf numFmtId="0" fontId="20" fillId="0" borderId="0"/>
    <xf numFmtId="0" fontId="14" fillId="0" borderId="0"/>
    <xf numFmtId="0" fontId="26" fillId="0" borderId="0" applyNumberFormat="0" applyFill="0" applyBorder="0">
      <protection locked="0"/>
    </xf>
    <xf numFmtId="0" fontId="24" fillId="0" borderId="0"/>
    <xf numFmtId="0" fontId="14" fillId="0" borderId="0"/>
    <xf numFmtId="0" fontId="26" fillId="0" borderId="0" applyNumberFormat="0" applyFill="0" applyBorder="0">
      <protection locked="0"/>
    </xf>
    <xf numFmtId="0" fontId="14" fillId="0" borderId="0"/>
    <xf numFmtId="0" fontId="26" fillId="0" borderId="0" applyNumberFormat="0" applyFill="0" applyBorder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3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49" applyNumberFormat="0" applyFont="0" applyFill="0" applyAlignment="0" applyProtection="0"/>
    <xf numFmtId="171" fontId="15" fillId="0" borderId="0"/>
    <xf numFmtId="2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0">
      <alignment vertical="top"/>
    </xf>
    <xf numFmtId="0" fontId="14" fillId="0" borderId="50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2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50" applyNumberFormat="0" applyFont="0" applyFill="0" applyAlignment="0" applyProtection="0"/>
    <xf numFmtId="0" fontId="21" fillId="2" borderId="50" applyNumberFormat="0" applyFont="0" applyFill="0" applyAlignment="0" applyProtection="0"/>
    <xf numFmtId="0" fontId="21" fillId="2" borderId="0" applyFont="0" applyFill="0" applyBorder="0" applyAlignment="0" applyProtection="0"/>
    <xf numFmtId="3" fontId="21" fillId="2" borderId="0" applyFont="0" applyFill="0" applyBorder="0" applyAlignment="0" applyProtection="0"/>
    <xf numFmtId="174" fontId="21" fillId="2" borderId="0" applyFont="0" applyFill="0" applyBorder="0" applyAlignment="0" applyProtection="0"/>
    <xf numFmtId="2" fontId="21" fillId="2" borderId="0" applyFont="0" applyFill="0" applyBorder="0" applyAlignment="0" applyProtection="0"/>
    <xf numFmtId="0" fontId="27" fillId="2" borderId="0" applyNumberFormat="0" applyFill="0" applyBorder="0" applyAlignment="0" applyProtection="0"/>
    <xf numFmtId="0" fontId="28" fillId="2" borderId="0" applyNumberFormat="0" applyFill="0" applyBorder="0" applyAlignment="0" applyProtection="0"/>
    <xf numFmtId="170" fontId="15" fillId="0" borderId="0"/>
    <xf numFmtId="0" fontId="22" fillId="0" borderId="0">
      <protection locked="0"/>
    </xf>
    <xf numFmtId="0" fontId="18" fillId="0" borderId="0">
      <protection locked="0"/>
    </xf>
    <xf numFmtId="0" fontId="22" fillId="0" borderId="0">
      <protection locked="0"/>
    </xf>
    <xf numFmtId="0" fontId="18" fillId="0" borderId="0">
      <protection locked="0"/>
    </xf>
    <xf numFmtId="172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2" fillId="0" borderId="0">
      <protection locked="0"/>
    </xf>
    <xf numFmtId="0" fontId="22" fillId="0" borderId="48">
      <protection locked="0"/>
    </xf>
    <xf numFmtId="0" fontId="13" fillId="0" borderId="0"/>
    <xf numFmtId="41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5" fontId="21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31" fillId="0" borderId="0" applyFont="0" applyFill="0" applyBorder="0" applyAlignment="0" applyProtection="0"/>
  </cellStyleXfs>
  <cellXfs count="245">
    <xf numFmtId="0" fontId="0" fillId="0" borderId="0" xfId="0"/>
    <xf numFmtId="3" fontId="1" fillId="0" borderId="13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166" fontId="1" fillId="0" borderId="9" xfId="0" applyNumberFormat="1" applyFont="1" applyFill="1" applyBorder="1" applyAlignment="1">
      <alignment vertical="center" wrapText="1"/>
    </xf>
    <xf numFmtId="166" fontId="1" fillId="0" borderId="8" xfId="0" applyNumberFormat="1" applyFont="1" applyFill="1" applyBorder="1" applyAlignment="1">
      <alignment vertical="center" wrapText="1"/>
    </xf>
    <xf numFmtId="166" fontId="1" fillId="0" borderId="31" xfId="0" applyNumberFormat="1" applyFont="1" applyFill="1" applyBorder="1" applyAlignment="1">
      <alignment vertical="center" wrapText="1"/>
    </xf>
    <xf numFmtId="166" fontId="1" fillId="0" borderId="13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vertical="center" wrapText="1"/>
    </xf>
    <xf numFmtId="166" fontId="1" fillId="0" borderId="30" xfId="0" applyNumberFormat="1" applyFont="1" applyFill="1" applyBorder="1" applyAlignment="1">
      <alignment vertical="center" wrapText="1"/>
    </xf>
    <xf numFmtId="3" fontId="1" fillId="0" borderId="3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29" xfId="0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right" vertical="center"/>
    </xf>
    <xf numFmtId="3" fontId="1" fillId="0" borderId="15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horizontal="right" vertical="center"/>
    </xf>
    <xf numFmtId="3" fontId="1" fillId="0" borderId="30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166" fontId="1" fillId="0" borderId="14" xfId="0" applyNumberFormat="1" applyFont="1" applyFill="1" applyBorder="1" applyAlignment="1">
      <alignment vertical="center" wrapText="1"/>
    </xf>
    <xf numFmtId="166" fontId="1" fillId="0" borderId="15" xfId="0" applyNumberFormat="1" applyFont="1" applyFill="1" applyBorder="1" applyAlignment="1">
      <alignment vertical="center" wrapText="1"/>
    </xf>
    <xf numFmtId="0" fontId="0" fillId="0" borderId="30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61" xfId="0" applyFont="1" applyFill="1" applyBorder="1" applyAlignment="1">
      <alignment vertical="center"/>
    </xf>
    <xf numFmtId="0" fontId="1" fillId="0" borderId="62" xfId="0" applyFont="1" applyFill="1" applyBorder="1" applyAlignment="1">
      <alignment vertical="center" wrapText="1"/>
    </xf>
    <xf numFmtId="0" fontId="1" fillId="0" borderId="63" xfId="0" applyFont="1" applyFill="1" applyBorder="1" applyAlignment="1">
      <alignment vertical="center" wrapText="1"/>
    </xf>
    <xf numFmtId="0" fontId="1" fillId="0" borderId="61" xfId="0" applyFont="1" applyFill="1" applyBorder="1" applyAlignment="1">
      <alignment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Continuous" vertical="center"/>
    </xf>
    <xf numFmtId="3" fontId="12" fillId="0" borderId="0" xfId="0" applyNumberFormat="1" applyFont="1" applyFill="1" applyAlignment="1">
      <alignment vertical="center"/>
    </xf>
    <xf numFmtId="0" fontId="1" fillId="0" borderId="59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6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31" xfId="0" applyNumberFormat="1" applyFont="1" applyFill="1" applyBorder="1" applyAlignment="1">
      <alignment horizontal="right" vertical="center" wrapText="1"/>
    </xf>
    <xf numFmtId="3" fontId="1" fillId="0" borderId="30" xfId="0" applyNumberFormat="1" applyFont="1" applyFill="1" applyBorder="1" applyAlignment="1">
      <alignment horizontal="right" vertical="center" wrapText="1"/>
    </xf>
    <xf numFmtId="3" fontId="1" fillId="0" borderId="9" xfId="0" applyNumberFormat="1" applyFont="1" applyFill="1" applyBorder="1" applyAlignment="1">
      <alignment horizontal="right" vertical="center" wrapText="1"/>
    </xf>
    <xf numFmtId="166" fontId="1" fillId="0" borderId="8" xfId="0" applyNumberFormat="1" applyFont="1" applyFill="1" applyBorder="1" applyAlignment="1">
      <alignment horizontal="right" vertical="center" wrapText="1"/>
    </xf>
    <xf numFmtId="166" fontId="1" fillId="0" borderId="30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horizontal="right" vertical="center"/>
    </xf>
    <xf numFmtId="3" fontId="1" fillId="0" borderId="27" xfId="0" applyNumberFormat="1" applyFont="1" applyFill="1" applyBorder="1" applyAlignment="1">
      <alignment horizontal="right" vertical="center"/>
    </xf>
    <xf numFmtId="3" fontId="1" fillId="0" borderId="44" xfId="0" applyNumberFormat="1" applyFont="1" applyFill="1" applyBorder="1" applyAlignment="1">
      <alignment horizontal="right" vertical="center"/>
    </xf>
    <xf numFmtId="3" fontId="1" fillId="0" borderId="9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wrapText="1"/>
    </xf>
    <xf numFmtId="166" fontId="1" fillId="0" borderId="13" xfId="0" applyNumberFormat="1" applyFont="1" applyFill="1" applyBorder="1" applyAlignment="1">
      <alignment vertical="center"/>
    </xf>
    <xf numFmtId="166" fontId="1" fillId="0" borderId="15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15" xfId="0" applyNumberFormat="1" applyFont="1" applyFill="1" applyBorder="1" applyAlignment="1">
      <alignment horizontal="right" vertical="center" wrapText="1"/>
    </xf>
    <xf numFmtId="3" fontId="1" fillId="0" borderId="14" xfId="0" applyNumberFormat="1" applyFont="1" applyFill="1" applyBorder="1" applyAlignment="1">
      <alignment horizontal="right" vertical="center" wrapText="1"/>
    </xf>
    <xf numFmtId="166" fontId="1" fillId="0" borderId="13" xfId="0" applyNumberFormat="1" applyFont="1" applyFill="1" applyBorder="1" applyAlignment="1">
      <alignment horizontal="right" vertical="center" wrapText="1"/>
    </xf>
    <xf numFmtId="166" fontId="1" fillId="0" borderId="15" xfId="0" applyNumberFormat="1" applyFont="1" applyFill="1" applyBorder="1" applyAlignment="1">
      <alignment horizontal="right" vertical="center" wrapText="1"/>
    </xf>
    <xf numFmtId="3" fontId="1" fillId="0" borderId="4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vertical="center"/>
    </xf>
    <xf numFmtId="0" fontId="2" fillId="0" borderId="65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vertical="center"/>
    </xf>
    <xf numFmtId="166" fontId="1" fillId="0" borderId="32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30" xfId="0" applyFont="1" applyFill="1" applyBorder="1" applyAlignment="1">
      <alignment horizontal="centerContinuous" vertical="center"/>
    </xf>
    <xf numFmtId="0" fontId="1" fillId="0" borderId="12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175" fontId="1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3" fontId="12" fillId="0" borderId="0" xfId="0" quotePrefix="1" applyNumberFormat="1" applyFont="1" applyFill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11" fillId="0" borderId="26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right" vertical="center" wrapText="1"/>
    </xf>
    <xf numFmtId="3" fontId="1" fillId="0" borderId="33" xfId="0" applyNumberFormat="1" applyFont="1" applyFill="1" applyBorder="1" applyAlignment="1">
      <alignment horizontal="right" vertical="center" wrapText="1"/>
    </xf>
    <xf numFmtId="3" fontId="1" fillId="0" borderId="20" xfId="0" applyNumberFormat="1" applyFont="1" applyFill="1" applyBorder="1" applyAlignment="1">
      <alignment horizontal="right" vertical="center" wrapText="1"/>
    </xf>
    <xf numFmtId="3" fontId="1" fillId="0" borderId="51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horizontal="right" vertical="center" wrapText="1"/>
    </xf>
    <xf numFmtId="3" fontId="2" fillId="0" borderId="33" xfId="0" applyNumberFormat="1" applyFont="1" applyFill="1" applyBorder="1" applyAlignment="1">
      <alignment horizontal="right" vertical="center" wrapText="1"/>
    </xf>
    <xf numFmtId="3" fontId="2" fillId="0" borderId="20" xfId="0" applyNumberFormat="1" applyFont="1" applyFill="1" applyBorder="1" applyAlignment="1">
      <alignment horizontal="right" vertical="center" wrapText="1"/>
    </xf>
    <xf numFmtId="3" fontId="1" fillId="0" borderId="54" xfId="0" applyNumberFormat="1" applyFont="1" applyFill="1" applyBorder="1" applyAlignment="1">
      <alignment horizontal="right" vertical="center" wrapText="1"/>
    </xf>
    <xf numFmtId="3" fontId="3" fillId="0" borderId="19" xfId="0" applyNumberFormat="1" applyFont="1" applyFill="1" applyBorder="1" applyAlignment="1">
      <alignment horizontal="right" vertical="center" wrapText="1"/>
    </xf>
    <xf numFmtId="3" fontId="3" fillId="0" borderId="33" xfId="0" applyNumberFormat="1" applyFont="1" applyFill="1" applyBorder="1" applyAlignment="1">
      <alignment horizontal="right" vertical="center" wrapText="1"/>
    </xf>
    <xf numFmtId="3" fontId="3" fillId="0" borderId="20" xfId="0" applyNumberFormat="1" applyFont="1" applyFill="1" applyBorder="1" applyAlignment="1">
      <alignment horizontal="right" vertical="center" wrapText="1"/>
    </xf>
    <xf numFmtId="3" fontId="1" fillId="0" borderId="55" xfId="0" applyNumberFormat="1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justify" vertical="center" wrapText="1"/>
    </xf>
    <xf numFmtId="3" fontId="1" fillId="0" borderId="19" xfId="0" applyNumberFormat="1" applyFont="1" applyFill="1" applyBorder="1" applyAlignment="1">
      <alignment vertical="center"/>
    </xf>
    <xf numFmtId="3" fontId="1" fillId="0" borderId="33" xfId="0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 wrapText="1"/>
    </xf>
    <xf numFmtId="3" fontId="3" fillId="0" borderId="33" xfId="0" applyNumberFormat="1" applyFont="1" applyFill="1" applyBorder="1" applyAlignment="1">
      <alignment vertical="center" wrapText="1"/>
    </xf>
    <xf numFmtId="3" fontId="3" fillId="0" borderId="20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1" fillId="0" borderId="23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/>
    </xf>
    <xf numFmtId="3" fontId="2" fillId="0" borderId="25" xfId="0" applyNumberFormat="1" applyFont="1" applyFill="1" applyBorder="1" applyAlignment="1">
      <alignment horizontal="right" vertical="center" wrapText="1"/>
    </xf>
    <xf numFmtId="3" fontId="2" fillId="0" borderId="41" xfId="0" applyNumberFormat="1" applyFont="1" applyFill="1" applyBorder="1" applyAlignment="1">
      <alignment horizontal="right" vertical="center" wrapText="1"/>
    </xf>
    <xf numFmtId="3" fontId="2" fillId="0" borderId="26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  <xf numFmtId="167" fontId="3" fillId="0" borderId="28" xfId="0" applyNumberFormat="1" applyFont="1" applyFill="1" applyBorder="1" applyAlignment="1">
      <alignment vertical="center"/>
    </xf>
    <xf numFmtId="167" fontId="3" fillId="0" borderId="27" xfId="0" applyNumberFormat="1" applyFont="1" applyFill="1" applyBorder="1" applyAlignment="1">
      <alignment vertical="center"/>
    </xf>
    <xf numFmtId="167" fontId="3" fillId="0" borderId="29" xfId="0" applyNumberFormat="1" applyFont="1" applyFill="1" applyBorder="1" applyAlignment="1">
      <alignment vertical="center"/>
    </xf>
    <xf numFmtId="3" fontId="3" fillId="0" borderId="28" xfId="0" applyNumberFormat="1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39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1" fillId="0" borderId="16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0" fontId="4" fillId="0" borderId="57" xfId="0" applyFont="1" applyFill="1" applyBorder="1" applyAlignment="1">
      <alignment horizontal="center" vertical="center"/>
    </xf>
    <xf numFmtId="167" fontId="1" fillId="0" borderId="57" xfId="0" applyNumberFormat="1" applyFont="1" applyFill="1" applyBorder="1" applyAlignment="1">
      <alignment horizontal="right" vertical="center" wrapText="1"/>
    </xf>
    <xf numFmtId="167" fontId="1" fillId="0" borderId="69" xfId="0" applyNumberFormat="1" applyFont="1" applyFill="1" applyBorder="1" applyAlignment="1">
      <alignment horizontal="right" vertical="center" wrapText="1"/>
    </xf>
    <xf numFmtId="167" fontId="1" fillId="0" borderId="70" xfId="0" applyNumberFormat="1" applyFont="1" applyFill="1" applyBorder="1" applyAlignment="1">
      <alignment horizontal="right" vertical="center" wrapText="1"/>
    </xf>
    <xf numFmtId="167" fontId="2" fillId="0" borderId="70" xfId="0" applyNumberFormat="1" applyFont="1" applyFill="1" applyBorder="1" applyAlignment="1">
      <alignment horizontal="right" vertical="center" wrapText="1"/>
    </xf>
    <xf numFmtId="167" fontId="3" fillId="0" borderId="70" xfId="0" applyNumberFormat="1" applyFont="1" applyFill="1" applyBorder="1" applyAlignment="1">
      <alignment horizontal="right" vertical="center" wrapText="1"/>
    </xf>
    <xf numFmtId="167" fontId="1" fillId="0" borderId="57" xfId="0" applyNumberFormat="1" applyFont="1" applyFill="1" applyBorder="1" applyAlignment="1">
      <alignment horizontal="right" vertical="center"/>
    </xf>
    <xf numFmtId="167" fontId="2" fillId="0" borderId="73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176" fontId="5" fillId="0" borderId="57" xfId="121" applyNumberFormat="1" applyFont="1" applyFill="1" applyBorder="1" applyAlignment="1">
      <alignment horizontal="right" vertical="center"/>
    </xf>
    <xf numFmtId="167" fontId="1" fillId="0" borderId="69" xfId="0" applyNumberFormat="1" applyFont="1" applyFill="1" applyBorder="1" applyAlignment="1">
      <alignment horizontal="right" vertical="center"/>
    </xf>
    <xf numFmtId="167" fontId="1" fillId="0" borderId="70" xfId="0" applyNumberFormat="1" applyFont="1" applyFill="1" applyBorder="1" applyAlignment="1">
      <alignment horizontal="right" vertical="center"/>
    </xf>
    <xf numFmtId="167" fontId="2" fillId="0" borderId="71" xfId="0" applyNumberFormat="1" applyFont="1" applyFill="1" applyBorder="1" applyAlignment="1">
      <alignment horizontal="right" vertical="center"/>
    </xf>
    <xf numFmtId="167" fontId="1" fillId="0" borderId="72" xfId="0" applyNumberFormat="1" applyFont="1" applyFill="1" applyBorder="1" applyAlignment="1">
      <alignment horizontal="right" vertical="center"/>
    </xf>
    <xf numFmtId="3" fontId="2" fillId="0" borderId="74" xfId="0" applyNumberFormat="1" applyFont="1" applyFill="1" applyBorder="1" applyAlignment="1">
      <alignment horizontal="right" vertical="center" wrapText="1"/>
    </xf>
    <xf numFmtId="3" fontId="2" fillId="0" borderId="39" xfId="0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center"/>
    </xf>
    <xf numFmtId="0" fontId="3" fillId="0" borderId="76" xfId="0" applyFont="1" applyFill="1" applyBorder="1" applyAlignment="1">
      <alignment horizontal="center" vertical="center"/>
    </xf>
    <xf numFmtId="0" fontId="1" fillId="0" borderId="77" xfId="0" applyFont="1" applyFill="1" applyBorder="1" applyAlignment="1">
      <alignment horizontal="center" vertical="center"/>
    </xf>
    <xf numFmtId="0" fontId="1" fillId="0" borderId="78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 wrapText="1"/>
    </xf>
    <xf numFmtId="0" fontId="1" fillId="0" borderId="78" xfId="0" applyFont="1" applyFill="1" applyBorder="1" applyAlignment="1">
      <alignment horizontal="center" vertical="center" wrapText="1"/>
    </xf>
    <xf numFmtId="0" fontId="1" fillId="0" borderId="78" xfId="0" applyFont="1" applyFill="1" applyBorder="1" applyAlignment="1">
      <alignment horizontal="centerContinuous" vertical="center"/>
    </xf>
    <xf numFmtId="0" fontId="1" fillId="0" borderId="79" xfId="0" applyFont="1" applyFill="1" applyBorder="1" applyAlignment="1">
      <alignment horizontal="centerContinuous" vertical="center"/>
    </xf>
    <xf numFmtId="0" fontId="0" fillId="0" borderId="8" xfId="0" applyFont="1" applyFill="1" applyBorder="1" applyAlignment="1">
      <alignment horizontal="right" vertical="center"/>
    </xf>
    <xf numFmtId="0" fontId="34" fillId="0" borderId="0" xfId="0" applyFont="1" applyFill="1" applyAlignment="1">
      <alignment vertical="center"/>
    </xf>
    <xf numFmtId="3" fontId="34" fillId="0" borderId="0" xfId="0" applyNumberFormat="1" applyFont="1" applyFill="1" applyAlignment="1">
      <alignment vertical="center"/>
    </xf>
    <xf numFmtId="3" fontId="34" fillId="0" borderId="26" xfId="0" applyNumberFormat="1" applyFont="1" applyFill="1" applyBorder="1" applyAlignment="1">
      <alignment vertical="center"/>
    </xf>
    <xf numFmtId="0" fontId="1" fillId="0" borderId="64" xfId="0" applyFont="1" applyFill="1" applyBorder="1" applyAlignment="1">
      <alignment vertical="center" wrapText="1"/>
    </xf>
    <xf numFmtId="3" fontId="2" fillId="0" borderId="47" xfId="0" applyNumberFormat="1" applyFont="1" applyFill="1" applyBorder="1" applyAlignment="1">
      <alignment horizontal="right" vertical="center" wrapText="1"/>
    </xf>
    <xf numFmtId="166" fontId="34" fillId="0" borderId="8" xfId="0" applyNumberFormat="1" applyFont="1" applyFill="1" applyBorder="1" applyAlignment="1">
      <alignment vertical="center" wrapText="1"/>
    </xf>
    <xf numFmtId="166" fontId="1" fillId="0" borderId="34" xfId="0" applyNumberFormat="1" applyFont="1" applyFill="1" applyBorder="1" applyAlignment="1">
      <alignment horizontal="right" vertical="center" wrapText="1"/>
    </xf>
    <xf numFmtId="167" fontId="1" fillId="0" borderId="34" xfId="0" applyNumberFormat="1" applyFont="1" applyFill="1" applyBorder="1" applyAlignment="1">
      <alignment vertical="center"/>
    </xf>
    <xf numFmtId="167" fontId="1" fillId="0" borderId="35" xfId="0" applyNumberFormat="1" applyFont="1" applyFill="1" applyBorder="1" applyAlignment="1">
      <alignment vertical="center"/>
    </xf>
    <xf numFmtId="167" fontId="1" fillId="0" borderId="35" xfId="0" applyNumberFormat="1" applyFont="1" applyFill="1" applyBorder="1" applyAlignment="1">
      <alignment horizontal="right" vertical="center" wrapText="1"/>
    </xf>
    <xf numFmtId="167" fontId="1" fillId="0" borderId="36" xfId="0" applyNumberFormat="1" applyFont="1" applyFill="1" applyBorder="1" applyAlignment="1">
      <alignment vertical="center"/>
    </xf>
    <xf numFmtId="167" fontId="2" fillId="0" borderId="37" xfId="0" applyNumberFormat="1" applyFont="1" applyFill="1" applyBorder="1" applyAlignment="1">
      <alignment horizontal="right" vertical="center" wrapText="1"/>
    </xf>
    <xf numFmtId="166" fontId="34" fillId="0" borderId="30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center" vertical="center"/>
    </xf>
    <xf numFmtId="167" fontId="1" fillId="0" borderId="68" xfId="0" applyNumberFormat="1" applyFont="1" applyFill="1" applyBorder="1" applyAlignment="1">
      <alignment horizontal="right" vertical="center"/>
    </xf>
    <xf numFmtId="167" fontId="1" fillId="0" borderId="57" xfId="0" applyNumberFormat="1" applyFont="1" applyFill="1" applyBorder="1" applyAlignment="1">
      <alignment horizontal="right" vertical="center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right" vertical="center"/>
    </xf>
    <xf numFmtId="3" fontId="1" fillId="0" borderId="30" xfId="0" applyNumberFormat="1" applyFont="1" applyFill="1" applyBorder="1" applyAlignment="1">
      <alignment horizontal="right" vertical="center"/>
    </xf>
    <xf numFmtId="3" fontId="1" fillId="0" borderId="80" xfId="0" applyNumberFormat="1" applyFont="1" applyFill="1" applyBorder="1" applyAlignment="1">
      <alignment horizontal="right" vertical="center"/>
    </xf>
    <xf numFmtId="3" fontId="1" fillId="0" borderId="81" xfId="0" applyNumberFormat="1" applyFont="1" applyFill="1" applyBorder="1" applyAlignment="1">
      <alignment horizontal="right"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167" fontId="1" fillId="0" borderId="56" xfId="0" applyNumberFormat="1" applyFont="1" applyFill="1" applyBorder="1" applyAlignment="1">
      <alignment horizontal="right" vertical="center"/>
    </xf>
    <xf numFmtId="167" fontId="1" fillId="0" borderId="34" xfId="0" applyNumberFormat="1" applyFont="1" applyFill="1" applyBorder="1" applyAlignment="1">
      <alignment horizontal="right" vertical="center"/>
    </xf>
    <xf numFmtId="0" fontId="3" fillId="0" borderId="58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3" fontId="1" fillId="0" borderId="29" xfId="0" applyNumberFormat="1" applyFont="1" applyFill="1" applyBorder="1" applyAlignment="1">
      <alignment horizontal="right" vertical="center"/>
    </xf>
    <xf numFmtId="3" fontId="1" fillId="0" borderId="8" xfId="0" applyNumberFormat="1" applyFont="1" applyFill="1" applyBorder="1" applyAlignment="1">
      <alignment horizontal="right" vertical="center"/>
    </xf>
  </cellXfs>
  <cellStyles count="122">
    <cellStyle name="Celkem 2" xfId="82"/>
    <cellStyle name="Celkem 3" xfId="93"/>
    <cellStyle name="Celkem 4" xfId="94"/>
    <cellStyle name="Celkem 5" xfId="76"/>
    <cellStyle name="Comma" xfId="5"/>
    <cellStyle name="Comma [0]" xfId="6"/>
    <cellStyle name="Comma [0] 2" xfId="34"/>
    <cellStyle name="Comma [0] 3" xfId="115"/>
    <cellStyle name="Comma 2" xfId="15"/>
    <cellStyle name="Comma 3" xfId="24"/>
    <cellStyle name="Comma 4" xfId="72"/>
    <cellStyle name="Comma 5" xfId="102"/>
    <cellStyle name="Comma_PCENY" xfId="40"/>
    <cellStyle name="Comma0" xfId="25"/>
    <cellStyle name="Comma0 2" xfId="103"/>
    <cellStyle name="Currency" xfId="3"/>
    <cellStyle name="Currency [0]" xfId="4"/>
    <cellStyle name="Currency 2" xfId="16"/>
    <cellStyle name="Currency 3" xfId="26"/>
    <cellStyle name="Currency 4" xfId="71"/>
    <cellStyle name="Currency 5" xfId="104"/>
    <cellStyle name="Currency_PCENY" xfId="70"/>
    <cellStyle name="Currency0" xfId="27"/>
    <cellStyle name="Currency0 2" xfId="105"/>
    <cellStyle name="Čárka" xfId="121" builtinId="3"/>
    <cellStyle name="Čárka 2" xfId="9"/>
    <cellStyle name="Čárky bez des. míst 2" xfId="10"/>
    <cellStyle name="Date" xfId="17"/>
    <cellStyle name="Date 2" xfId="41"/>
    <cellStyle name="Date 3" xfId="106"/>
    <cellStyle name="Datum" xfId="28"/>
    <cellStyle name="Datum 2" xfId="83"/>
    <cellStyle name="Datum 3" xfId="92"/>
    <cellStyle name="Datum 4" xfId="95"/>
    <cellStyle name="Datum 5" xfId="75"/>
    <cellStyle name="Finanční0" xfId="29"/>
    <cellStyle name="Finanční0 2" xfId="84"/>
    <cellStyle name="Finanční0 3" xfId="91"/>
    <cellStyle name="Finanční0 4" xfId="96"/>
    <cellStyle name="Finanční0 5" xfId="74"/>
    <cellStyle name="Fixed" xfId="18"/>
    <cellStyle name="Fixed 2" xfId="42"/>
    <cellStyle name="Fixed 3" xfId="107"/>
    <cellStyle name="Heading 1" xfId="30"/>
    <cellStyle name="Heading 1 2" xfId="108"/>
    <cellStyle name="Heading 2" xfId="31"/>
    <cellStyle name="Heading 2 2" xfId="109"/>
    <cellStyle name="Heading1" xfId="19"/>
    <cellStyle name="Heading1 2" xfId="110"/>
    <cellStyle name="Heading2" xfId="20"/>
    <cellStyle name="Heading2 2" xfId="111"/>
    <cellStyle name="Hyperlink" xfId="7"/>
    <cellStyle name="Hypertextový odkaz 10" xfId="8"/>
    <cellStyle name="Hypertextový odkaz 2" xfId="36"/>
    <cellStyle name="Hypertextový odkaz 2 2" xfId="52"/>
    <cellStyle name="Hypertextový odkaz 3" xfId="54"/>
    <cellStyle name="Hypertextový odkaz 4" xfId="57"/>
    <cellStyle name="Hypertextový odkaz 5" xfId="60"/>
    <cellStyle name="Hypertextový odkaz 6" xfId="64"/>
    <cellStyle name="Hypertextový odkaz 7" xfId="67"/>
    <cellStyle name="Hypertextový odkaz 8" xfId="69"/>
    <cellStyle name="Hypertextový odkaz 9" xfId="49"/>
    <cellStyle name="Měna 2" xfId="11"/>
    <cellStyle name="Měna 2 2" xfId="116"/>
    <cellStyle name="Měna0" xfId="32"/>
    <cellStyle name="Měna0 2" xfId="85"/>
    <cellStyle name="Měna0 2 2" xfId="119"/>
    <cellStyle name="Měna0 3" xfId="90"/>
    <cellStyle name="Měna0 3 2" xfId="120"/>
    <cellStyle name="Měna0 4" xfId="97"/>
    <cellStyle name="Měna0 5" xfId="73"/>
    <cellStyle name="Měna0 6" xfId="118"/>
    <cellStyle name="Měny bez des. míst 2" xfId="12"/>
    <cellStyle name="Měny bez des. míst 2 2" xfId="117"/>
    <cellStyle name="Normal" xfId="114"/>
    <cellStyle name="Normální" xfId="0" builtinId="0"/>
    <cellStyle name="Normální 10" xfId="55"/>
    <cellStyle name="Normální 11" xfId="56"/>
    <cellStyle name="Normální 12" xfId="58"/>
    <cellStyle name="Normální 13" xfId="59"/>
    <cellStyle name="Normální 14" xfId="61"/>
    <cellStyle name="Normální 15" xfId="62"/>
    <cellStyle name="Normální 16" xfId="63"/>
    <cellStyle name="Normální 17" xfId="65"/>
    <cellStyle name="Normální 18" xfId="66"/>
    <cellStyle name="Normální 19" xfId="68"/>
    <cellStyle name="Normální 2" xfId="14"/>
    <cellStyle name="Normální 2 2" xfId="43"/>
    <cellStyle name="Normální 2 3" xfId="38"/>
    <cellStyle name="Normální 20" xfId="37"/>
    <cellStyle name="Normální 21" xfId="77"/>
    <cellStyle name="Normální 22" xfId="101"/>
    <cellStyle name="Normální 23" xfId="1"/>
    <cellStyle name="Normální 3" xfId="23"/>
    <cellStyle name="Normální 3 2" xfId="44"/>
    <cellStyle name="Normální 3 3" xfId="39"/>
    <cellStyle name="Normální 3 4" xfId="81"/>
    <cellStyle name="Normální 4" xfId="45"/>
    <cellStyle name="Normální 5" xfId="46"/>
    <cellStyle name="Normální 6" xfId="48"/>
    <cellStyle name="Normální 7" xfId="50"/>
    <cellStyle name="Normální 8" xfId="51"/>
    <cellStyle name="Normální 9" xfId="53"/>
    <cellStyle name="Percent" xfId="2"/>
    <cellStyle name="Percent 2" xfId="21"/>
    <cellStyle name="Percent 3" xfId="112"/>
    <cellStyle name="Pevný" xfId="33"/>
    <cellStyle name="Pevný 2" xfId="86"/>
    <cellStyle name="Pevný 3" xfId="89"/>
    <cellStyle name="Pevný 4" xfId="98"/>
    <cellStyle name="Pevný 5" xfId="78"/>
    <cellStyle name="Procenta 2" xfId="13"/>
    <cellStyle name="Styl 1" xfId="35"/>
    <cellStyle name="Total" xfId="22"/>
    <cellStyle name="Total 2" xfId="47"/>
    <cellStyle name="Total 3" xfId="113"/>
    <cellStyle name="Záhlaví 1" xfId="79"/>
    <cellStyle name="Záhlaví 1 2" xfId="87"/>
    <cellStyle name="Záhlaví 1 3" xfId="99"/>
    <cellStyle name="Záhlaví 2" xfId="80"/>
    <cellStyle name="Záhlaví 2 2" xfId="88"/>
    <cellStyle name="Záhlaví 2 3" xfId="10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100"/>
  <sheetViews>
    <sheetView tabSelected="1" zoomScale="112" zoomScaleNormal="112" workbookViewId="0">
      <selection activeCell="T7" sqref="T7"/>
    </sheetView>
  </sheetViews>
  <sheetFormatPr defaultColWidth="9.140625" defaultRowHeight="12.75" x14ac:dyDescent="0.2"/>
  <cols>
    <col min="1" max="1" width="4.5703125" style="61" customWidth="1"/>
    <col min="2" max="2" width="4.42578125" style="61" customWidth="1"/>
    <col min="3" max="3" width="60.140625" style="61" customWidth="1"/>
    <col min="4" max="8" width="8.42578125" style="61" hidden="1" customWidth="1"/>
    <col min="9" max="9" width="9.28515625" style="61" hidden="1" customWidth="1"/>
    <col min="10" max="11" width="8.42578125" style="61" hidden="1" customWidth="1"/>
    <col min="12" max="12" width="10.28515625" style="61" hidden="1" customWidth="1"/>
    <col min="13" max="19" width="8.85546875" style="61" hidden="1" customWidth="1"/>
    <col min="20" max="20" width="9.42578125" style="61" customWidth="1"/>
    <col min="21" max="21" width="8.85546875" style="61" hidden="1" customWidth="1"/>
    <col min="22" max="22" width="9.42578125" style="61" customWidth="1"/>
    <col min="23" max="23" width="8.85546875" style="61" hidden="1" customWidth="1"/>
    <col min="24" max="24" width="9.42578125" style="61" customWidth="1"/>
    <col min="25" max="25" width="8.85546875" style="61" hidden="1" customWidth="1"/>
    <col min="26" max="26" width="9.42578125" style="61" bestFit="1" customWidth="1"/>
    <col min="27" max="27" width="8.85546875" style="61" hidden="1" customWidth="1"/>
    <col min="28" max="28" width="9.42578125" style="61" bestFit="1" customWidth="1"/>
    <col min="29" max="29" width="8.85546875" style="61" hidden="1" customWidth="1"/>
    <col min="30" max="30" width="9.42578125" style="61" bestFit="1" customWidth="1"/>
    <col min="31" max="31" width="8.85546875" style="61" hidden="1" customWidth="1"/>
    <col min="32" max="32" width="10.42578125" style="61" customWidth="1"/>
    <col min="33" max="33" width="8.85546875" style="61" hidden="1" customWidth="1"/>
    <col min="34" max="34" width="9.42578125" style="61" bestFit="1" customWidth="1"/>
    <col min="35" max="35" width="8.85546875" style="61" hidden="1" customWidth="1"/>
    <col min="36" max="36" width="9.42578125" style="61" bestFit="1" customWidth="1"/>
    <col min="37" max="37" width="8.85546875" style="61" hidden="1" customWidth="1"/>
    <col min="38" max="38" width="9.42578125" style="61" bestFit="1" customWidth="1"/>
    <col min="39" max="39" width="11.7109375" style="61" bestFit="1" customWidth="1"/>
    <col min="40" max="40" width="10.42578125" style="61" customWidth="1"/>
    <col min="41" max="41" width="10.7109375" style="193" customWidth="1"/>
    <col min="42" max="16384" width="9.140625" style="61"/>
  </cols>
  <sheetData>
    <row r="1" spans="2:41" ht="15.75" x14ac:dyDescent="0.2">
      <c r="AM1" s="124" t="s">
        <v>121</v>
      </c>
    </row>
    <row r="2" spans="2:41" ht="18.75" x14ac:dyDescent="0.2">
      <c r="C2" s="224" t="s">
        <v>120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</row>
    <row r="3" spans="2:41" ht="16.5" thickBot="1" x14ac:dyDescent="0.25">
      <c r="C3" s="124"/>
      <c r="G3" s="110"/>
      <c r="J3" s="110"/>
      <c r="AA3" s="110"/>
      <c r="AB3" s="110"/>
      <c r="AC3" s="110"/>
      <c r="AD3" s="110"/>
      <c r="AE3" s="110"/>
      <c r="AF3" s="125"/>
      <c r="AG3" s="63"/>
      <c r="AH3" s="63"/>
      <c r="AI3" s="63"/>
      <c r="AJ3" s="126"/>
      <c r="AK3" s="126"/>
      <c r="AL3" s="126"/>
      <c r="AM3" s="127"/>
      <c r="AN3" s="127"/>
    </row>
    <row r="4" spans="2:41" ht="22.5" customHeight="1" thickTop="1" x14ac:dyDescent="0.2">
      <c r="B4" s="128" t="s">
        <v>0</v>
      </c>
      <c r="C4" s="66" t="s">
        <v>1</v>
      </c>
      <c r="D4" s="66">
        <v>2000</v>
      </c>
      <c r="E4" s="68">
        <v>2001</v>
      </c>
      <c r="F4" s="111">
        <v>2002</v>
      </c>
      <c r="G4" s="68">
        <v>2003</v>
      </c>
      <c r="H4" s="68">
        <v>2004</v>
      </c>
      <c r="I4" s="66">
        <v>2005</v>
      </c>
      <c r="J4" s="68">
        <v>2005</v>
      </c>
      <c r="K4" s="66">
        <v>2006</v>
      </c>
      <c r="L4" s="66">
        <v>2006</v>
      </c>
      <c r="M4" s="66">
        <v>2007</v>
      </c>
      <c r="N4" s="66">
        <v>2007</v>
      </c>
      <c r="O4" s="66">
        <v>2008</v>
      </c>
      <c r="P4" s="66">
        <v>2008</v>
      </c>
      <c r="Q4" s="69">
        <v>2009</v>
      </c>
      <c r="R4" s="66">
        <v>2009</v>
      </c>
      <c r="S4" s="66">
        <v>2010</v>
      </c>
      <c r="T4" s="66">
        <v>2010</v>
      </c>
      <c r="U4" s="69">
        <v>2011</v>
      </c>
      <c r="V4" s="66">
        <v>2011</v>
      </c>
      <c r="W4" s="69">
        <v>2012</v>
      </c>
      <c r="X4" s="66">
        <v>2012</v>
      </c>
      <c r="Y4" s="66">
        <v>2013</v>
      </c>
      <c r="Z4" s="66">
        <v>2013</v>
      </c>
      <c r="AA4" s="69">
        <v>2014</v>
      </c>
      <c r="AB4" s="69">
        <v>2014</v>
      </c>
      <c r="AC4" s="69">
        <v>2015</v>
      </c>
      <c r="AD4" s="68">
        <v>2015</v>
      </c>
      <c r="AE4" s="69">
        <v>2016</v>
      </c>
      <c r="AF4" s="69">
        <v>2016</v>
      </c>
      <c r="AG4" s="69">
        <v>2017</v>
      </c>
      <c r="AH4" s="68">
        <v>2017</v>
      </c>
      <c r="AI4" s="68">
        <v>2018</v>
      </c>
      <c r="AJ4" s="68">
        <v>2018</v>
      </c>
      <c r="AK4" s="68">
        <v>2019</v>
      </c>
      <c r="AL4" s="68">
        <v>2019</v>
      </c>
      <c r="AM4" s="69">
        <v>2020</v>
      </c>
      <c r="AN4" s="111">
        <v>2021</v>
      </c>
      <c r="AO4" s="227" t="s">
        <v>126</v>
      </c>
    </row>
    <row r="5" spans="2:41" ht="26.25" thickBot="1" x14ac:dyDescent="0.25">
      <c r="B5" s="203"/>
      <c r="C5" s="204" t="s">
        <v>4</v>
      </c>
      <c r="D5" s="205" t="s">
        <v>2</v>
      </c>
      <c r="E5" s="205" t="s">
        <v>2</v>
      </c>
      <c r="F5" s="206" t="s">
        <v>2</v>
      </c>
      <c r="G5" s="207" t="s">
        <v>2</v>
      </c>
      <c r="H5" s="207" t="s">
        <v>2</v>
      </c>
      <c r="I5" s="204" t="s">
        <v>3</v>
      </c>
      <c r="J5" s="207" t="s">
        <v>2</v>
      </c>
      <c r="K5" s="204" t="s">
        <v>3</v>
      </c>
      <c r="L5" s="204" t="s">
        <v>2</v>
      </c>
      <c r="M5" s="204" t="s">
        <v>3</v>
      </c>
      <c r="N5" s="204" t="s">
        <v>2</v>
      </c>
      <c r="O5" s="204" t="s">
        <v>3</v>
      </c>
      <c r="P5" s="204" t="s">
        <v>2</v>
      </c>
      <c r="Q5" s="208" t="s">
        <v>3</v>
      </c>
      <c r="R5" s="204" t="s">
        <v>2</v>
      </c>
      <c r="S5" s="204" t="s">
        <v>3</v>
      </c>
      <c r="T5" s="204" t="s">
        <v>84</v>
      </c>
      <c r="U5" s="208" t="s">
        <v>3</v>
      </c>
      <c r="V5" s="204" t="s">
        <v>84</v>
      </c>
      <c r="W5" s="208" t="s">
        <v>3</v>
      </c>
      <c r="X5" s="204" t="s">
        <v>84</v>
      </c>
      <c r="Y5" s="204" t="s">
        <v>3</v>
      </c>
      <c r="Z5" s="204" t="s">
        <v>84</v>
      </c>
      <c r="AA5" s="205" t="s">
        <v>3</v>
      </c>
      <c r="AB5" s="204" t="s">
        <v>84</v>
      </c>
      <c r="AC5" s="204" t="s">
        <v>3</v>
      </c>
      <c r="AD5" s="204" t="s">
        <v>84</v>
      </c>
      <c r="AE5" s="204" t="s">
        <v>3</v>
      </c>
      <c r="AF5" s="204" t="s">
        <v>84</v>
      </c>
      <c r="AG5" s="205" t="s">
        <v>3</v>
      </c>
      <c r="AH5" s="204" t="s">
        <v>84</v>
      </c>
      <c r="AI5" s="204" t="s">
        <v>3</v>
      </c>
      <c r="AJ5" s="204" t="s">
        <v>84</v>
      </c>
      <c r="AK5" s="204" t="s">
        <v>3</v>
      </c>
      <c r="AL5" s="205" t="s">
        <v>84</v>
      </c>
      <c r="AM5" s="207" t="s">
        <v>117</v>
      </c>
      <c r="AN5" s="209" t="s">
        <v>119</v>
      </c>
      <c r="AO5" s="228"/>
    </row>
    <row r="6" spans="2:41" ht="16.5" thickTop="1" x14ac:dyDescent="0.2">
      <c r="B6" s="34"/>
      <c r="C6" s="35" t="s">
        <v>5</v>
      </c>
      <c r="D6" s="129"/>
      <c r="E6" s="130"/>
      <c r="F6" s="131"/>
      <c r="G6" s="130"/>
      <c r="H6" s="129"/>
      <c r="I6" s="132"/>
      <c r="J6" s="129"/>
      <c r="K6" s="132"/>
      <c r="L6" s="132"/>
      <c r="M6" s="129"/>
      <c r="N6" s="129"/>
      <c r="O6" s="129"/>
      <c r="P6" s="129"/>
      <c r="Q6" s="129"/>
      <c r="R6" s="129"/>
      <c r="S6" s="129"/>
      <c r="T6" s="129">
        <v>1</v>
      </c>
      <c r="U6" s="129"/>
      <c r="V6" s="129">
        <v>2</v>
      </c>
      <c r="W6" s="129"/>
      <c r="X6" s="129">
        <v>3</v>
      </c>
      <c r="Y6" s="129"/>
      <c r="Z6" s="129">
        <v>4</v>
      </c>
      <c r="AA6" s="130"/>
      <c r="AB6" s="130">
        <v>5</v>
      </c>
      <c r="AC6" s="130"/>
      <c r="AD6" s="130">
        <v>6</v>
      </c>
      <c r="AE6" s="130"/>
      <c r="AF6" s="130">
        <v>7</v>
      </c>
      <c r="AG6" s="130"/>
      <c r="AH6" s="130">
        <v>8</v>
      </c>
      <c r="AI6" s="130"/>
      <c r="AJ6" s="130">
        <v>9</v>
      </c>
      <c r="AK6" s="130"/>
      <c r="AL6" s="130">
        <v>10</v>
      </c>
      <c r="AM6" s="202">
        <v>11</v>
      </c>
      <c r="AN6" s="201">
        <v>12</v>
      </c>
      <c r="AO6" s="185" t="s">
        <v>123</v>
      </c>
    </row>
    <row r="7" spans="2:41" ht="27" x14ac:dyDescent="0.2">
      <c r="B7" s="11">
        <v>1</v>
      </c>
      <c r="C7" s="36" t="s">
        <v>80</v>
      </c>
      <c r="D7" s="133">
        <f>SUM(D8:D15)</f>
        <v>267332</v>
      </c>
      <c r="E7" s="134">
        <f>SUM(E8:E18)</f>
        <v>285089</v>
      </c>
      <c r="F7" s="135">
        <f>SUM(F8:F18)</f>
        <v>305232</v>
      </c>
      <c r="G7" s="134">
        <f t="shared" ref="G7:M7" si="0">SUM(G8:G18)</f>
        <v>322140</v>
      </c>
      <c r="H7" s="133">
        <f t="shared" si="0"/>
        <v>330934</v>
      </c>
      <c r="I7" s="133">
        <f>SUM(I8:I18)</f>
        <v>342084</v>
      </c>
      <c r="J7" s="133">
        <f t="shared" si="0"/>
        <v>343502</v>
      </c>
      <c r="K7" s="133">
        <f t="shared" si="0"/>
        <v>362598</v>
      </c>
      <c r="L7" s="133">
        <f t="shared" si="0"/>
        <v>372954</v>
      </c>
      <c r="M7" s="133">
        <f t="shared" si="0"/>
        <v>416365</v>
      </c>
      <c r="N7" s="133">
        <f t="shared" ref="N7:AN7" si="1">SUM(N8:N18)</f>
        <v>413243</v>
      </c>
      <c r="O7" s="133">
        <f t="shared" si="1"/>
        <v>421960</v>
      </c>
      <c r="P7" s="133">
        <f t="shared" si="1"/>
        <v>429217</v>
      </c>
      <c r="Q7" s="133">
        <f t="shared" si="1"/>
        <v>449260</v>
      </c>
      <c r="R7" s="133">
        <f t="shared" si="1"/>
        <v>458842</v>
      </c>
      <c r="S7" s="133">
        <f t="shared" si="1"/>
        <v>463220</v>
      </c>
      <c r="T7" s="133">
        <f t="shared" si="1"/>
        <v>461426</v>
      </c>
      <c r="U7" s="133">
        <f t="shared" ref="U7" si="2">SUM(U8:U18)</f>
        <v>476160</v>
      </c>
      <c r="V7" s="133">
        <f t="shared" si="1"/>
        <v>474379</v>
      </c>
      <c r="W7" s="133">
        <f t="shared" si="1"/>
        <v>496851</v>
      </c>
      <c r="X7" s="133">
        <f t="shared" si="1"/>
        <v>486054</v>
      </c>
      <c r="Y7" s="133">
        <f t="shared" si="1"/>
        <v>504086</v>
      </c>
      <c r="Z7" s="133">
        <f t="shared" si="1"/>
        <v>495152</v>
      </c>
      <c r="AA7" s="133">
        <f t="shared" si="1"/>
        <v>512981.88</v>
      </c>
      <c r="AB7" s="133">
        <f>SUM(AB8:AB18)</f>
        <v>502121</v>
      </c>
      <c r="AC7" s="133">
        <v>518949.44200000004</v>
      </c>
      <c r="AD7" s="133">
        <f t="shared" ref="AD7:AM7" si="3">SUM(AD8:AD18)</f>
        <v>512683</v>
      </c>
      <c r="AE7" s="133">
        <f t="shared" si="3"/>
        <v>522955</v>
      </c>
      <c r="AF7" s="133">
        <f t="shared" si="3"/>
        <v>520027</v>
      </c>
      <c r="AG7" s="133">
        <f t="shared" si="3"/>
        <v>542621.04700000002</v>
      </c>
      <c r="AH7" s="133">
        <f t="shared" si="3"/>
        <v>537451</v>
      </c>
      <c r="AI7" s="133">
        <f t="shared" si="3"/>
        <v>570885</v>
      </c>
      <c r="AJ7" s="133">
        <f t="shared" si="3"/>
        <v>565377.4</v>
      </c>
      <c r="AK7" s="133">
        <f t="shared" si="3"/>
        <v>611611</v>
      </c>
      <c r="AL7" s="134">
        <f t="shared" si="3"/>
        <v>611501</v>
      </c>
      <c r="AM7" s="134">
        <f t="shared" si="3"/>
        <v>671950.97499999998</v>
      </c>
      <c r="AN7" s="135">
        <f t="shared" si="1"/>
        <v>706033.78099999996</v>
      </c>
      <c r="AO7" s="194">
        <f>AN7/AM7*100</f>
        <v>105.07221616874654</v>
      </c>
    </row>
    <row r="8" spans="2:41" ht="15.75" x14ac:dyDescent="0.2">
      <c r="B8" s="11">
        <v>2</v>
      </c>
      <c r="C8" s="12" t="s">
        <v>67</v>
      </c>
      <c r="D8" s="3">
        <f>186854-2</f>
        <v>186852</v>
      </c>
      <c r="E8" s="31">
        <v>201110</v>
      </c>
      <c r="F8" s="86">
        <f>213676-28</f>
        <v>213648</v>
      </c>
      <c r="G8" s="31">
        <v>225833</v>
      </c>
      <c r="H8" s="3">
        <v>230897</v>
      </c>
      <c r="I8" s="3">
        <f>245976+7-400</f>
        <v>245583</v>
      </c>
      <c r="J8" s="3">
        <v>247390</v>
      </c>
      <c r="K8" s="3">
        <v>263506</v>
      </c>
      <c r="L8" s="3">
        <v>272911</v>
      </c>
      <c r="M8" s="3">
        <f>288329-950</f>
        <v>287379</v>
      </c>
      <c r="N8" s="3">
        <v>289855</v>
      </c>
      <c r="O8" s="3">
        <v>305596</v>
      </c>
      <c r="P8" s="3">
        <v>312532</v>
      </c>
      <c r="Q8" s="3">
        <v>336573</v>
      </c>
      <c r="R8" s="3">
        <v>339788</v>
      </c>
      <c r="S8" s="3">
        <v>346223</v>
      </c>
      <c r="T8" s="3">
        <v>346213</v>
      </c>
      <c r="U8" s="3">
        <v>363970</v>
      </c>
      <c r="V8" s="3">
        <v>368069</v>
      </c>
      <c r="W8" s="3">
        <v>382508</v>
      </c>
      <c r="X8" s="3">
        <v>382031</v>
      </c>
      <c r="Y8" s="3">
        <v>392526</v>
      </c>
      <c r="Z8" s="3">
        <v>382773</v>
      </c>
      <c r="AA8" s="31">
        <v>391453.61499999999</v>
      </c>
      <c r="AB8" s="31">
        <v>386150</v>
      </c>
      <c r="AC8" s="31">
        <v>394752.054</v>
      </c>
      <c r="AD8" s="31">
        <v>395507</v>
      </c>
      <c r="AE8" s="86">
        <f>403068-2400+600</f>
        <v>401268</v>
      </c>
      <c r="AF8" s="31">
        <v>399265</v>
      </c>
      <c r="AG8" s="31">
        <v>416453</v>
      </c>
      <c r="AH8" s="31">
        <v>414653</v>
      </c>
      <c r="AI8" s="86">
        <f>438098-3700</f>
        <v>434398</v>
      </c>
      <c r="AJ8" s="31">
        <v>434083</v>
      </c>
      <c r="AK8" s="86">
        <f>472184+285</f>
        <v>472469</v>
      </c>
      <c r="AL8" s="31">
        <v>471797</v>
      </c>
      <c r="AM8" s="3">
        <v>507292.64600000001</v>
      </c>
      <c r="AN8" s="27">
        <v>536776.61499999999</v>
      </c>
      <c r="AO8" s="191">
        <f t="shared" ref="AO8:AO63" si="4">AN8/AM8*100</f>
        <v>105.81202373668945</v>
      </c>
    </row>
    <row r="9" spans="2:41" x14ac:dyDescent="0.2">
      <c r="B9" s="11">
        <v>3</v>
      </c>
      <c r="C9" s="12" t="s">
        <v>6</v>
      </c>
      <c r="D9" s="3">
        <v>27289</v>
      </c>
      <c r="E9" s="31">
        <v>29683</v>
      </c>
      <c r="F9" s="86">
        <f>32763-35+4</f>
        <v>32732</v>
      </c>
      <c r="G9" s="31">
        <v>34437</v>
      </c>
      <c r="H9" s="3">
        <v>29718</v>
      </c>
      <c r="I9" s="3">
        <f>31864-1993-597</f>
        <v>29274</v>
      </c>
      <c r="J9" s="3">
        <v>31835</v>
      </c>
      <c r="K9" s="3">
        <v>30922</v>
      </c>
      <c r="L9" s="3">
        <v>32974</v>
      </c>
      <c r="M9" s="3">
        <f>35680-3008</f>
        <v>32672</v>
      </c>
      <c r="N9" s="3">
        <v>34870</v>
      </c>
      <c r="O9" s="3">
        <v>29023</v>
      </c>
      <c r="P9" s="3">
        <v>32072</v>
      </c>
      <c r="Q9" s="3">
        <v>29067</v>
      </c>
      <c r="R9" s="3">
        <v>26233</v>
      </c>
      <c r="S9" s="3">
        <v>23782</v>
      </c>
      <c r="T9" s="3">
        <v>22996</v>
      </c>
      <c r="U9" s="3">
        <v>21927</v>
      </c>
      <c r="V9" s="3">
        <v>21734</v>
      </c>
      <c r="W9" s="3">
        <v>22863</v>
      </c>
      <c r="X9" s="3">
        <v>19602</v>
      </c>
      <c r="Y9" s="3">
        <v>20386</v>
      </c>
      <c r="Z9" s="3">
        <v>20350</v>
      </c>
      <c r="AA9" s="31">
        <v>21921.264999999999</v>
      </c>
      <c r="AB9" s="31">
        <v>22283</v>
      </c>
      <c r="AC9" s="31">
        <v>24057.205000000002</v>
      </c>
      <c r="AD9" s="31">
        <v>24325</v>
      </c>
      <c r="AE9" s="86">
        <v>24728</v>
      </c>
      <c r="AF9" s="31">
        <v>26506</v>
      </c>
      <c r="AG9" s="31">
        <v>27539.742999999999</v>
      </c>
      <c r="AH9" s="31">
        <v>28569</v>
      </c>
      <c r="AI9" s="86">
        <v>32711</v>
      </c>
      <c r="AJ9" s="31">
        <v>34261</v>
      </c>
      <c r="AK9" s="86">
        <v>36495</v>
      </c>
      <c r="AL9" s="31">
        <v>39230</v>
      </c>
      <c r="AM9" s="3">
        <v>50637.347000000002</v>
      </c>
      <c r="AN9" s="27">
        <v>43583.32</v>
      </c>
      <c r="AO9" s="191">
        <f t="shared" si="4"/>
        <v>86.06951703058219</v>
      </c>
    </row>
    <row r="10" spans="2:41" ht="15.75" x14ac:dyDescent="0.2">
      <c r="B10" s="11">
        <v>4</v>
      </c>
      <c r="C10" s="12" t="s">
        <v>114</v>
      </c>
      <c r="D10" s="3">
        <v>31855</v>
      </c>
      <c r="E10" s="31">
        <v>31943</v>
      </c>
      <c r="F10" s="86">
        <v>33733</v>
      </c>
      <c r="G10" s="31">
        <v>32275</v>
      </c>
      <c r="H10" s="3">
        <v>32786</v>
      </c>
      <c r="I10" s="3">
        <f>35540-500-20</f>
        <v>35020</v>
      </c>
      <c r="J10" s="3">
        <v>33046</v>
      </c>
      <c r="K10" s="3">
        <v>33829</v>
      </c>
      <c r="L10" s="3">
        <v>34123</v>
      </c>
      <c r="M10" s="3">
        <f>50002+4437</f>
        <v>54439</v>
      </c>
      <c r="N10" s="3">
        <v>48617</v>
      </c>
      <c r="O10" s="3">
        <v>45702</v>
      </c>
      <c r="P10" s="3">
        <v>41970</v>
      </c>
      <c r="Q10" s="3">
        <v>44400</v>
      </c>
      <c r="R10" s="3">
        <v>41168</v>
      </c>
      <c r="S10" s="3">
        <f>41573-3</f>
        <v>41570</v>
      </c>
      <c r="T10" s="3">
        <v>40880</v>
      </c>
      <c r="U10" s="3">
        <v>38253</v>
      </c>
      <c r="V10" s="3">
        <v>36094</v>
      </c>
      <c r="W10" s="3">
        <v>37910</v>
      </c>
      <c r="X10" s="3">
        <v>35554</v>
      </c>
      <c r="Y10" s="3">
        <v>36910</v>
      </c>
      <c r="Z10" s="3">
        <v>37891</v>
      </c>
      <c r="AA10" s="31">
        <v>39710</v>
      </c>
      <c r="AB10" s="31">
        <v>38070</v>
      </c>
      <c r="AC10" s="31">
        <v>40250</v>
      </c>
      <c r="AD10" s="31">
        <v>38253</v>
      </c>
      <c r="AE10" s="86">
        <f>30569+9571</f>
        <v>40140</v>
      </c>
      <c r="AF10" s="31">
        <v>38427</v>
      </c>
      <c r="AG10" s="31">
        <v>40800</v>
      </c>
      <c r="AH10" s="31">
        <v>37885</v>
      </c>
      <c r="AI10" s="86">
        <f>44750</f>
        <v>44750</v>
      </c>
      <c r="AJ10" s="31">
        <v>40142</v>
      </c>
      <c r="AK10" s="86">
        <f>33929+1+9302-327</f>
        <v>42905</v>
      </c>
      <c r="AL10" s="31">
        <v>38807</v>
      </c>
      <c r="AM10" s="3">
        <v>49246.243999999999</v>
      </c>
      <c r="AN10" s="27">
        <v>49252.254999999997</v>
      </c>
      <c r="AO10" s="191">
        <f t="shared" si="4"/>
        <v>100.01220600702054</v>
      </c>
    </row>
    <row r="11" spans="2:41" ht="12.75" customHeight="1" x14ac:dyDescent="0.2">
      <c r="B11" s="11">
        <v>5</v>
      </c>
      <c r="C11" s="12" t="s">
        <v>113</v>
      </c>
      <c r="D11" s="3">
        <v>4380</v>
      </c>
      <c r="E11" s="31">
        <f>4891-1</f>
        <v>4890</v>
      </c>
      <c r="F11" s="86">
        <f>3806+1612+75</f>
        <v>5493</v>
      </c>
      <c r="G11" s="31">
        <v>5573</v>
      </c>
      <c r="H11" s="3">
        <v>12860</v>
      </c>
      <c r="I11" s="3">
        <f>37700-29871</f>
        <v>7829</v>
      </c>
      <c r="J11" s="3">
        <v>6713</v>
      </c>
      <c r="K11" s="3">
        <v>7530</v>
      </c>
      <c r="L11" s="3">
        <v>7159</v>
      </c>
      <c r="M11" s="3">
        <v>5909</v>
      </c>
      <c r="N11" s="3">
        <v>6048</v>
      </c>
      <c r="O11" s="3">
        <f>6654-2</f>
        <v>6652</v>
      </c>
      <c r="P11" s="3">
        <v>7258</v>
      </c>
      <c r="Q11" s="3">
        <v>6967</v>
      </c>
      <c r="R11" s="3">
        <v>7107</v>
      </c>
      <c r="S11" s="3">
        <f>7958-16</f>
        <v>7942</v>
      </c>
      <c r="T11" s="3">
        <v>7502</v>
      </c>
      <c r="U11" s="3">
        <f>8013-6</f>
        <v>8007</v>
      </c>
      <c r="V11" s="3">
        <v>7855</v>
      </c>
      <c r="W11" s="3">
        <v>8296</v>
      </c>
      <c r="X11" s="3">
        <v>7542</v>
      </c>
      <c r="Y11" s="3">
        <v>8735</v>
      </c>
      <c r="Z11" s="3">
        <v>7505</v>
      </c>
      <c r="AA11" s="31">
        <v>9088</v>
      </c>
      <c r="AB11" s="31">
        <v>7445</v>
      </c>
      <c r="AC11" s="31">
        <v>8137.09</v>
      </c>
      <c r="AD11" s="31">
        <f>7324-1</f>
        <v>7323</v>
      </c>
      <c r="AE11" s="86">
        <f>7710+4</f>
        <v>7714</v>
      </c>
      <c r="AF11" s="31">
        <f>7288+31</f>
        <v>7319</v>
      </c>
      <c r="AG11" s="31">
        <v>7543.32</v>
      </c>
      <c r="AH11" s="31">
        <f>7421+1+1</f>
        <v>7423</v>
      </c>
      <c r="AI11" s="86">
        <f>7700+4</f>
        <v>7704</v>
      </c>
      <c r="AJ11" s="31">
        <f>7681+1.4</f>
        <v>7682.4</v>
      </c>
      <c r="AK11" s="86">
        <f>7956+2</f>
        <v>7958</v>
      </c>
      <c r="AL11" s="31">
        <v>8480</v>
      </c>
      <c r="AM11" s="3">
        <v>9117.7890000000007</v>
      </c>
      <c r="AN11" s="27">
        <v>9863.4359999999997</v>
      </c>
      <c r="AO11" s="191">
        <f t="shared" si="4"/>
        <v>108.17793655896182</v>
      </c>
    </row>
    <row r="12" spans="2:41" x14ac:dyDescent="0.2">
      <c r="B12" s="11">
        <v>6</v>
      </c>
      <c r="C12" s="12" t="s">
        <v>7</v>
      </c>
      <c r="D12" s="3">
        <v>5680</v>
      </c>
      <c r="E12" s="31">
        <f>5429-200</f>
        <v>5229</v>
      </c>
      <c r="F12" s="86">
        <v>6210</v>
      </c>
      <c r="G12" s="31">
        <v>6949</v>
      </c>
      <c r="H12" s="3">
        <v>7030</v>
      </c>
      <c r="I12" s="3">
        <f>8500-1000</f>
        <v>7500</v>
      </c>
      <c r="J12" s="3">
        <v>7047</v>
      </c>
      <c r="K12" s="3">
        <v>7300</v>
      </c>
      <c r="L12" s="3">
        <v>7308</v>
      </c>
      <c r="M12" s="3">
        <f>7300-73</f>
        <v>7227</v>
      </c>
      <c r="N12" s="3">
        <v>7016</v>
      </c>
      <c r="O12" s="3">
        <v>7000</v>
      </c>
      <c r="P12" s="3">
        <v>7115</v>
      </c>
      <c r="Q12" s="3">
        <v>5000</v>
      </c>
      <c r="R12" s="3">
        <v>15078</v>
      </c>
      <c r="S12" s="3">
        <v>14300</v>
      </c>
      <c r="T12" s="3">
        <v>13355</v>
      </c>
      <c r="U12" s="3">
        <v>14300</v>
      </c>
      <c r="V12" s="3">
        <v>10349</v>
      </c>
      <c r="W12" s="3">
        <v>12480</v>
      </c>
      <c r="X12" s="3">
        <v>8760</v>
      </c>
      <c r="Y12" s="3">
        <v>9800</v>
      </c>
      <c r="Z12" s="3">
        <v>9675</v>
      </c>
      <c r="AA12" s="31">
        <v>10700</v>
      </c>
      <c r="AB12" s="31">
        <v>9280</v>
      </c>
      <c r="AC12" s="31">
        <v>11000</v>
      </c>
      <c r="AD12" s="31">
        <v>8303</v>
      </c>
      <c r="AE12" s="86">
        <v>7500</v>
      </c>
      <c r="AF12" s="31">
        <v>8255</v>
      </c>
      <c r="AG12" s="31">
        <v>8477.44</v>
      </c>
      <c r="AH12" s="31">
        <f>7853+1</f>
        <v>7854</v>
      </c>
      <c r="AI12" s="86">
        <f>7300-300</f>
        <v>7000</v>
      </c>
      <c r="AJ12" s="31">
        <v>7543</v>
      </c>
      <c r="AK12" s="86">
        <v>7300</v>
      </c>
      <c r="AL12" s="31">
        <v>8144</v>
      </c>
      <c r="AM12" s="3">
        <v>7600</v>
      </c>
      <c r="AN12" s="27">
        <v>15500</v>
      </c>
      <c r="AO12" s="191">
        <f t="shared" si="4"/>
        <v>203.9473684210526</v>
      </c>
    </row>
    <row r="13" spans="2:41" x14ac:dyDescent="0.2">
      <c r="B13" s="11">
        <v>7</v>
      </c>
      <c r="C13" s="12" t="s">
        <v>42</v>
      </c>
      <c r="D13" s="3"/>
      <c r="E13" s="31">
        <v>169</v>
      </c>
      <c r="F13" s="86">
        <v>186</v>
      </c>
      <c r="G13" s="31">
        <v>194</v>
      </c>
      <c r="H13" s="3">
        <v>133</v>
      </c>
      <c r="I13" s="3">
        <v>250</v>
      </c>
      <c r="J13" s="3">
        <v>147</v>
      </c>
      <c r="K13" s="3">
        <v>300</v>
      </c>
      <c r="L13" s="3">
        <v>184</v>
      </c>
      <c r="M13" s="3">
        <v>300</v>
      </c>
      <c r="N13" s="3">
        <v>196</v>
      </c>
      <c r="O13" s="3">
        <v>200</v>
      </c>
      <c r="P13" s="3">
        <v>150</v>
      </c>
      <c r="Q13" s="3">
        <v>220</v>
      </c>
      <c r="R13" s="3">
        <v>844</v>
      </c>
      <c r="S13" s="3">
        <v>516</v>
      </c>
      <c r="T13" s="3">
        <v>498</v>
      </c>
      <c r="U13" s="3">
        <v>700</v>
      </c>
      <c r="V13" s="3">
        <v>389</v>
      </c>
      <c r="W13" s="3">
        <v>600</v>
      </c>
      <c r="X13" s="3">
        <v>452</v>
      </c>
      <c r="Y13" s="3">
        <v>500</v>
      </c>
      <c r="Z13" s="3">
        <v>333</v>
      </c>
      <c r="AA13" s="31">
        <v>500</v>
      </c>
      <c r="AB13" s="31">
        <v>392</v>
      </c>
      <c r="AC13" s="31">
        <v>400</v>
      </c>
      <c r="AD13" s="31">
        <v>229</v>
      </c>
      <c r="AE13" s="86">
        <v>400</v>
      </c>
      <c r="AF13" s="31">
        <v>250</v>
      </c>
      <c r="AG13" s="31">
        <v>400</v>
      </c>
      <c r="AH13" s="31">
        <v>167</v>
      </c>
      <c r="AI13" s="86">
        <v>400</v>
      </c>
      <c r="AJ13" s="31">
        <v>257</v>
      </c>
      <c r="AK13" s="86">
        <v>400</v>
      </c>
      <c r="AL13" s="31">
        <v>278</v>
      </c>
      <c r="AM13" s="3">
        <v>300</v>
      </c>
      <c r="AN13" s="27">
        <v>400</v>
      </c>
      <c r="AO13" s="191">
        <f t="shared" si="4"/>
        <v>133.33333333333331</v>
      </c>
    </row>
    <row r="14" spans="2:41" ht="15.75" x14ac:dyDescent="0.2">
      <c r="B14" s="37" t="s">
        <v>51</v>
      </c>
      <c r="C14" s="12" t="s">
        <v>68</v>
      </c>
      <c r="D14" s="3"/>
      <c r="E14" s="31"/>
      <c r="F14" s="86"/>
      <c r="G14" s="31">
        <v>2731</v>
      </c>
      <c r="H14" s="3">
        <v>3193</v>
      </c>
      <c r="I14" s="3">
        <f>2651+660</f>
        <v>3311</v>
      </c>
      <c r="J14" s="3">
        <v>3128</v>
      </c>
      <c r="K14" s="3">
        <v>3211</v>
      </c>
      <c r="L14" s="3">
        <v>3621</v>
      </c>
      <c r="M14" s="3">
        <f>1312+2070+60</f>
        <v>3442</v>
      </c>
      <c r="N14" s="3">
        <v>4198</v>
      </c>
      <c r="O14" s="3">
        <v>3640</v>
      </c>
      <c r="P14" s="3">
        <v>4119</v>
      </c>
      <c r="Q14" s="3">
        <v>4145</v>
      </c>
      <c r="R14" s="3">
        <v>3976</v>
      </c>
      <c r="S14" s="3">
        <v>4208</v>
      </c>
      <c r="T14" s="3">
        <v>4279</v>
      </c>
      <c r="U14" s="3">
        <v>4123</v>
      </c>
      <c r="V14" s="3">
        <v>4591</v>
      </c>
      <c r="W14" s="3">
        <v>4671</v>
      </c>
      <c r="X14" s="3">
        <v>4465</v>
      </c>
      <c r="Y14" s="3">
        <v>4913</v>
      </c>
      <c r="Z14" s="3">
        <v>4526</v>
      </c>
      <c r="AA14" s="31">
        <v>4800</v>
      </c>
      <c r="AB14" s="31">
        <v>4763</v>
      </c>
      <c r="AC14" s="31">
        <v>4700</v>
      </c>
      <c r="AD14" s="31">
        <v>4962</v>
      </c>
      <c r="AE14" s="86">
        <f>4500+800+200</f>
        <v>5500</v>
      </c>
      <c r="AF14" s="31">
        <v>5508</v>
      </c>
      <c r="AG14" s="31">
        <v>5600</v>
      </c>
      <c r="AH14" s="31">
        <v>6229</v>
      </c>
      <c r="AI14" s="86">
        <f>5500+920</f>
        <v>6420</v>
      </c>
      <c r="AJ14" s="31">
        <v>7249</v>
      </c>
      <c r="AK14" s="86">
        <f>7850+5</f>
        <v>7855</v>
      </c>
      <c r="AL14" s="31">
        <v>7814</v>
      </c>
      <c r="AM14" s="3">
        <v>8006</v>
      </c>
      <c r="AN14" s="27">
        <v>9000</v>
      </c>
      <c r="AO14" s="191">
        <f t="shared" si="4"/>
        <v>112.41568823382464</v>
      </c>
    </row>
    <row r="15" spans="2:41" x14ac:dyDescent="0.2">
      <c r="B15" s="11">
        <v>8</v>
      </c>
      <c r="C15" s="12" t="s">
        <v>44</v>
      </c>
      <c r="D15" s="3">
        <v>11276</v>
      </c>
      <c r="E15" s="31">
        <v>12065</v>
      </c>
      <c r="F15" s="86">
        <f>1692+11890-354+2</f>
        <v>13230</v>
      </c>
      <c r="G15" s="31">
        <v>14148</v>
      </c>
      <c r="H15" s="3">
        <v>14317</v>
      </c>
      <c r="I15" s="3">
        <f>14317-1000</f>
        <v>13317</v>
      </c>
      <c r="J15" s="3">
        <v>14196</v>
      </c>
      <c r="K15" s="3">
        <v>16000</v>
      </c>
      <c r="L15" s="3">
        <v>14674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1"/>
      <c r="AB15" s="31"/>
      <c r="AC15" s="31"/>
      <c r="AD15" s="31"/>
      <c r="AE15" s="86"/>
      <c r="AF15" s="31"/>
      <c r="AG15" s="31"/>
      <c r="AH15" s="31"/>
      <c r="AI15" s="86"/>
      <c r="AJ15" s="31"/>
      <c r="AK15" s="86"/>
      <c r="AL15" s="31"/>
      <c r="AM15" s="3"/>
      <c r="AN15" s="27"/>
      <c r="AO15" s="191"/>
    </row>
    <row r="16" spans="2:41" ht="25.5" x14ac:dyDescent="0.2">
      <c r="B16" s="37" t="s">
        <v>61</v>
      </c>
      <c r="C16" s="12" t="s">
        <v>79</v>
      </c>
      <c r="D16" s="3"/>
      <c r="E16" s="31"/>
      <c r="F16" s="86"/>
      <c r="G16" s="31"/>
      <c r="H16" s="3"/>
      <c r="I16" s="3"/>
      <c r="J16" s="3"/>
      <c r="K16" s="3"/>
      <c r="L16" s="3"/>
      <c r="M16" s="3">
        <f>16542-362</f>
        <v>16180</v>
      </c>
      <c r="N16" s="3">
        <v>7482</v>
      </c>
      <c r="O16" s="3">
        <v>12059</v>
      </c>
      <c r="P16" s="3">
        <f>5543-20</f>
        <v>5523</v>
      </c>
      <c r="Q16" s="3">
        <v>7300</v>
      </c>
      <c r="R16" s="3">
        <v>5751</v>
      </c>
      <c r="S16" s="3">
        <v>6179</v>
      </c>
      <c r="T16" s="3">
        <v>5903</v>
      </c>
      <c r="U16" s="3">
        <v>7113</v>
      </c>
      <c r="V16" s="3">
        <v>7057</v>
      </c>
      <c r="W16" s="3">
        <v>7533</v>
      </c>
      <c r="X16" s="3">
        <v>9260</v>
      </c>
      <c r="Y16" s="3">
        <v>9826</v>
      </c>
      <c r="Z16" s="3">
        <v>12510</v>
      </c>
      <c r="AA16" s="31">
        <v>14119</v>
      </c>
      <c r="AB16" s="31">
        <f>13296</f>
        <v>13296</v>
      </c>
      <c r="AC16" s="31">
        <v>14653.093000000001</v>
      </c>
      <c r="AD16" s="31">
        <v>12568</v>
      </c>
      <c r="AE16" s="86">
        <f>12785+2200-1100</f>
        <v>13885</v>
      </c>
      <c r="AF16" s="31">
        <v>11392</v>
      </c>
      <c r="AG16" s="31">
        <v>12007.544</v>
      </c>
      <c r="AH16" s="31">
        <f>7500+1997</f>
        <v>9497</v>
      </c>
      <c r="AI16" s="86">
        <f>9558+2900+1-957</f>
        <v>11502</v>
      </c>
      <c r="AJ16" s="31">
        <f>5426+2666</f>
        <v>8092</v>
      </c>
      <c r="AK16" s="86">
        <f>6629+3000</f>
        <v>9629</v>
      </c>
      <c r="AL16" s="31">
        <f>4438+2691</f>
        <v>7129</v>
      </c>
      <c r="AM16" s="3">
        <v>8450.9490000000005</v>
      </c>
      <c r="AN16" s="27">
        <v>8658.1550000000007</v>
      </c>
      <c r="AO16" s="191">
        <f t="shared" si="4"/>
        <v>102.4518666483492</v>
      </c>
    </row>
    <row r="17" spans="2:43" x14ac:dyDescent="0.2">
      <c r="B17" s="37" t="s">
        <v>62</v>
      </c>
      <c r="C17" s="12" t="s">
        <v>78</v>
      </c>
      <c r="D17" s="3"/>
      <c r="E17" s="31"/>
      <c r="F17" s="86"/>
      <c r="G17" s="31"/>
      <c r="H17" s="3"/>
      <c r="I17" s="3"/>
      <c r="J17" s="3"/>
      <c r="K17" s="3"/>
      <c r="L17" s="3"/>
      <c r="M17" s="3">
        <v>8817</v>
      </c>
      <c r="N17" s="3">
        <v>14961</v>
      </c>
      <c r="O17" s="3">
        <v>12088</v>
      </c>
      <c r="P17" s="3">
        <v>18478</v>
      </c>
      <c r="Q17" s="3">
        <v>15588</v>
      </c>
      <c r="R17" s="3">
        <v>18897</v>
      </c>
      <c r="S17" s="3">
        <v>18500</v>
      </c>
      <c r="T17" s="3">
        <v>19800</v>
      </c>
      <c r="U17" s="3">
        <v>17767</v>
      </c>
      <c r="V17" s="3">
        <v>18241</v>
      </c>
      <c r="W17" s="3">
        <v>19990</v>
      </c>
      <c r="X17" s="3">
        <v>18388</v>
      </c>
      <c r="Y17" s="3">
        <v>20490</v>
      </c>
      <c r="Z17" s="3">
        <v>19589</v>
      </c>
      <c r="AA17" s="31">
        <v>20690</v>
      </c>
      <c r="AB17" s="31">
        <v>20442</v>
      </c>
      <c r="AC17" s="31">
        <v>21000</v>
      </c>
      <c r="AD17" s="31">
        <v>21213</v>
      </c>
      <c r="AE17" s="86">
        <f>21300+520</f>
        <v>21820</v>
      </c>
      <c r="AF17" s="31">
        <v>23105</v>
      </c>
      <c r="AG17" s="31">
        <v>23800</v>
      </c>
      <c r="AH17" s="31">
        <v>25174</v>
      </c>
      <c r="AI17" s="86">
        <v>26000</v>
      </c>
      <c r="AJ17" s="31">
        <v>26068</v>
      </c>
      <c r="AK17" s="86">
        <v>26600</v>
      </c>
      <c r="AL17" s="31">
        <v>29822</v>
      </c>
      <c r="AM17" s="3">
        <v>31300</v>
      </c>
      <c r="AN17" s="27">
        <v>33000</v>
      </c>
      <c r="AO17" s="191">
        <f t="shared" si="4"/>
        <v>105.43130990415335</v>
      </c>
    </row>
    <row r="18" spans="2:43" x14ac:dyDescent="0.2">
      <c r="B18" s="37" t="s">
        <v>73</v>
      </c>
      <c r="C18" s="12"/>
      <c r="D18" s="3"/>
      <c r="E18" s="31"/>
      <c r="F18" s="86"/>
      <c r="G18" s="31"/>
      <c r="H18" s="3"/>
      <c r="I18" s="3"/>
      <c r="J18" s="3"/>
      <c r="K18" s="3"/>
      <c r="L18" s="3"/>
      <c r="M18" s="3"/>
      <c r="N18" s="3">
        <v>0</v>
      </c>
      <c r="O18" s="3">
        <v>0</v>
      </c>
      <c r="P18" s="3"/>
      <c r="Q18" s="3">
        <v>0</v>
      </c>
      <c r="R18" s="3"/>
      <c r="S18" s="3">
        <v>0</v>
      </c>
      <c r="T18" s="3">
        <v>0</v>
      </c>
      <c r="U18" s="3">
        <v>0</v>
      </c>
      <c r="V18" s="3"/>
      <c r="W18" s="3">
        <v>0</v>
      </c>
      <c r="X18" s="3">
        <v>0</v>
      </c>
      <c r="Y18" s="3">
        <v>0</v>
      </c>
      <c r="Z18" s="3">
        <v>0</v>
      </c>
      <c r="AA18" s="31">
        <v>0</v>
      </c>
      <c r="AB18" s="31">
        <v>0</v>
      </c>
      <c r="AC18" s="31">
        <v>0</v>
      </c>
      <c r="AD18" s="31"/>
      <c r="AE18" s="86"/>
      <c r="AF18" s="31"/>
      <c r="AG18" s="31">
        <v>0</v>
      </c>
      <c r="AH18" s="31"/>
      <c r="AI18" s="86"/>
      <c r="AJ18" s="31"/>
      <c r="AK18" s="86"/>
      <c r="AL18" s="31"/>
      <c r="AM18" s="3"/>
      <c r="AN18" s="27"/>
      <c r="AO18" s="191"/>
    </row>
    <row r="19" spans="2:43" ht="6" customHeight="1" x14ac:dyDescent="0.2">
      <c r="B19" s="11"/>
      <c r="C19" s="12"/>
      <c r="D19" s="3"/>
      <c r="E19" s="31"/>
      <c r="F19" s="86"/>
      <c r="G19" s="3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1"/>
      <c r="AB19" s="31"/>
      <c r="AC19" s="31"/>
      <c r="AD19" s="31"/>
      <c r="AE19" s="86"/>
      <c r="AF19" s="31"/>
      <c r="AG19" s="31"/>
      <c r="AH19" s="31"/>
      <c r="AI19" s="86"/>
      <c r="AJ19" s="31"/>
      <c r="AK19" s="86"/>
      <c r="AL19" s="31"/>
      <c r="AM19" s="3"/>
      <c r="AN19" s="27"/>
      <c r="AO19" s="191"/>
    </row>
    <row r="20" spans="2:43" x14ac:dyDescent="0.2">
      <c r="B20" s="11">
        <v>9</v>
      </c>
      <c r="C20" s="12" t="s">
        <v>8</v>
      </c>
      <c r="D20" s="3">
        <v>2412</v>
      </c>
      <c r="E20" s="31">
        <v>2617</v>
      </c>
      <c r="F20" s="86">
        <v>2745</v>
      </c>
      <c r="G20" s="31">
        <v>2882</v>
      </c>
      <c r="H20" s="3">
        <v>3124</v>
      </c>
      <c r="I20" s="3">
        <v>3250</v>
      </c>
      <c r="J20" s="3">
        <v>3573</v>
      </c>
      <c r="K20" s="3">
        <v>3975</v>
      </c>
      <c r="L20" s="3">
        <v>4038</v>
      </c>
      <c r="M20" s="3">
        <v>4500</v>
      </c>
      <c r="N20" s="3">
        <f>4547-20</f>
        <v>4527</v>
      </c>
      <c r="O20" s="3">
        <v>5100</v>
      </c>
      <c r="P20" s="3">
        <v>4992</v>
      </c>
      <c r="Q20" s="3">
        <v>6400</v>
      </c>
      <c r="R20" s="3">
        <v>5296</v>
      </c>
      <c r="S20" s="3">
        <v>6500</v>
      </c>
      <c r="T20" s="3">
        <v>5474</v>
      </c>
      <c r="U20" s="3">
        <v>6100</v>
      </c>
      <c r="V20" s="3">
        <v>5588</v>
      </c>
      <c r="W20" s="3">
        <v>6200</v>
      </c>
      <c r="X20" s="3">
        <v>5745</v>
      </c>
      <c r="Y20" s="3">
        <v>6400</v>
      </c>
      <c r="Z20" s="3">
        <v>6690</v>
      </c>
      <c r="AA20" s="31">
        <v>8000</v>
      </c>
      <c r="AB20" s="31">
        <v>6889</v>
      </c>
      <c r="AC20" s="31">
        <v>7800</v>
      </c>
      <c r="AD20" s="31">
        <v>6817</v>
      </c>
      <c r="AE20" s="86">
        <v>7200</v>
      </c>
      <c r="AF20" s="31">
        <v>6807</v>
      </c>
      <c r="AG20" s="31">
        <v>7300</v>
      </c>
      <c r="AH20" s="31">
        <v>6878</v>
      </c>
      <c r="AI20" s="86">
        <f>7000-50</f>
        <v>6950</v>
      </c>
      <c r="AJ20" s="31">
        <v>6995</v>
      </c>
      <c r="AK20" s="86">
        <v>7100</v>
      </c>
      <c r="AL20" s="31">
        <v>7200</v>
      </c>
      <c r="AM20" s="3">
        <v>7400</v>
      </c>
      <c r="AN20" s="27">
        <v>7600</v>
      </c>
      <c r="AO20" s="191">
        <f t="shared" si="4"/>
        <v>102.70270270270269</v>
      </c>
    </row>
    <row r="21" spans="2:43" x14ac:dyDescent="0.2">
      <c r="B21" s="11">
        <v>10</v>
      </c>
      <c r="C21" s="12" t="s">
        <v>9</v>
      </c>
      <c r="D21" s="3">
        <v>27464</v>
      </c>
      <c r="E21" s="31">
        <v>29026</v>
      </c>
      <c r="F21" s="86">
        <v>30561</v>
      </c>
      <c r="G21" s="31">
        <v>32493</v>
      </c>
      <c r="H21" s="3">
        <v>33377</v>
      </c>
      <c r="I21" s="3">
        <v>33969</v>
      </c>
      <c r="J21" s="3">
        <v>33732</v>
      </c>
      <c r="K21" s="3">
        <v>36264</v>
      </c>
      <c r="L21" s="3">
        <v>42998</v>
      </c>
      <c r="M21" s="3">
        <f>48144-950</f>
        <v>47194</v>
      </c>
      <c r="N21" s="3">
        <v>47459</v>
      </c>
      <c r="O21" s="3">
        <v>47729</v>
      </c>
      <c r="P21" s="3">
        <v>47253</v>
      </c>
      <c r="Q21" s="3">
        <v>47404</v>
      </c>
      <c r="R21" s="3">
        <v>48673</v>
      </c>
      <c r="S21" s="3">
        <v>52099</v>
      </c>
      <c r="T21" s="3">
        <v>52700</v>
      </c>
      <c r="U21" s="3">
        <v>52997</v>
      </c>
      <c r="V21" s="3">
        <v>52717</v>
      </c>
      <c r="W21" s="3">
        <v>52924</v>
      </c>
      <c r="X21" s="3">
        <v>52867</v>
      </c>
      <c r="Y21" s="3">
        <v>53183.6</v>
      </c>
      <c r="Z21" s="3">
        <v>53676</v>
      </c>
      <c r="AA21" s="31">
        <v>57919</v>
      </c>
      <c r="AB21" s="31">
        <v>59867</v>
      </c>
      <c r="AC21" s="31">
        <v>62181</v>
      </c>
      <c r="AD21" s="31">
        <v>60944</v>
      </c>
      <c r="AE21" s="86">
        <v>63058</v>
      </c>
      <c r="AF21" s="31">
        <v>62254</v>
      </c>
      <c r="AG21" s="31">
        <v>66353.623999999996</v>
      </c>
      <c r="AH21" s="31">
        <v>65254</v>
      </c>
      <c r="AI21" s="86">
        <v>69791</v>
      </c>
      <c r="AJ21" s="31">
        <v>68359</v>
      </c>
      <c r="AK21" s="86">
        <v>73320</v>
      </c>
      <c r="AL21" s="31">
        <v>71849</v>
      </c>
      <c r="AM21" s="3">
        <v>99149.607999999993</v>
      </c>
      <c r="AN21" s="27">
        <v>129632.095</v>
      </c>
      <c r="AO21" s="191">
        <f t="shared" si="4"/>
        <v>130.74393092910665</v>
      </c>
    </row>
    <row r="22" spans="2:43" x14ac:dyDescent="0.2">
      <c r="B22" s="11">
        <v>11</v>
      </c>
      <c r="C22" s="136" t="s">
        <v>10</v>
      </c>
      <c r="D22" s="3">
        <v>17378</v>
      </c>
      <c r="E22" s="31">
        <v>16989</v>
      </c>
      <c r="F22" s="86">
        <f>18945-46-270</f>
        <v>18629</v>
      </c>
      <c r="G22" s="31">
        <v>21328</v>
      </c>
      <c r="H22" s="3">
        <v>26765</v>
      </c>
      <c r="I22" s="3">
        <f>34262+200-1082</f>
        <v>33380</v>
      </c>
      <c r="J22" s="3">
        <v>25335</v>
      </c>
      <c r="K22" s="3">
        <v>33883</v>
      </c>
      <c r="L22" s="3">
        <v>31515</v>
      </c>
      <c r="M22" s="3">
        <f>40712-300-2610</f>
        <v>37802</v>
      </c>
      <c r="N22" s="3">
        <v>33981</v>
      </c>
      <c r="O22" s="3">
        <v>45141</v>
      </c>
      <c r="P22" s="3">
        <v>44601</v>
      </c>
      <c r="Q22" s="3">
        <f>47937-1</f>
        <v>47936</v>
      </c>
      <c r="R22" s="3">
        <v>52723</v>
      </c>
      <c r="S22" s="3">
        <v>62981</v>
      </c>
      <c r="T22" s="233">
        <v>48741</v>
      </c>
      <c r="U22" s="3">
        <f>72286</f>
        <v>72286</v>
      </c>
      <c r="V22" s="233">
        <v>55633</v>
      </c>
      <c r="W22" s="3">
        <v>78656</v>
      </c>
      <c r="X22" s="233">
        <v>57089</v>
      </c>
      <c r="Y22" s="3">
        <v>63600.167999999998</v>
      </c>
      <c r="Z22" s="233">
        <v>57843</v>
      </c>
      <c r="AA22" s="31">
        <v>65298</v>
      </c>
      <c r="AB22" s="233">
        <v>55895</v>
      </c>
      <c r="AC22" s="24">
        <v>64016.315999999999</v>
      </c>
      <c r="AD22" s="233">
        <v>53194</v>
      </c>
      <c r="AE22" s="236">
        <f>54000-1234-450</f>
        <v>52316</v>
      </c>
      <c r="AF22" s="233">
        <v>40654</v>
      </c>
      <c r="AG22" s="31">
        <v>45842.5</v>
      </c>
      <c r="AH22" s="233">
        <v>40151</v>
      </c>
      <c r="AI22" s="30">
        <f>46193-300-650</f>
        <v>45243</v>
      </c>
      <c r="AJ22" s="229">
        <v>40729</v>
      </c>
      <c r="AK22" s="83">
        <v>46499</v>
      </c>
      <c r="AL22" s="229">
        <v>39551</v>
      </c>
      <c r="AM22" s="229">
        <f>51460.88+350</f>
        <v>51810.879999999997</v>
      </c>
      <c r="AN22" s="231">
        <f>47631.88+350</f>
        <v>47981.88</v>
      </c>
      <c r="AO22" s="225">
        <f t="shared" si="4"/>
        <v>92.609660364772807</v>
      </c>
      <c r="AP22" s="110"/>
      <c r="AQ22" s="110"/>
    </row>
    <row r="23" spans="2:43" x14ac:dyDescent="0.2">
      <c r="B23" s="11">
        <v>12</v>
      </c>
      <c r="C23" s="12" t="s">
        <v>77</v>
      </c>
      <c r="D23" s="76">
        <v>122</v>
      </c>
      <c r="E23" s="92">
        <v>40</v>
      </c>
      <c r="F23" s="79">
        <v>46</v>
      </c>
      <c r="G23" s="92">
        <v>90</v>
      </c>
      <c r="H23" s="3">
        <v>69</v>
      </c>
      <c r="I23" s="3">
        <v>300</v>
      </c>
      <c r="J23" s="3">
        <v>96</v>
      </c>
      <c r="K23" s="3">
        <v>300</v>
      </c>
      <c r="L23" s="3">
        <v>94</v>
      </c>
      <c r="M23" s="3">
        <v>300</v>
      </c>
      <c r="N23" s="3">
        <v>145</v>
      </c>
      <c r="O23" s="3">
        <v>319</v>
      </c>
      <c r="P23" s="3">
        <v>151</v>
      </c>
      <c r="Q23" s="3">
        <v>310</v>
      </c>
      <c r="R23" s="3">
        <v>350</v>
      </c>
      <c r="S23" s="3">
        <v>704</v>
      </c>
      <c r="T23" s="234"/>
      <c r="U23" s="3">
        <v>704</v>
      </c>
      <c r="V23" s="234"/>
      <c r="W23" s="3">
        <v>750</v>
      </c>
      <c r="X23" s="234"/>
      <c r="Y23" s="3">
        <v>750</v>
      </c>
      <c r="Z23" s="234"/>
      <c r="AA23" s="31">
        <v>500</v>
      </c>
      <c r="AB23" s="234"/>
      <c r="AC23" s="31">
        <v>450</v>
      </c>
      <c r="AD23" s="234"/>
      <c r="AE23" s="237"/>
      <c r="AF23" s="234">
        <f>271*0</f>
        <v>0</v>
      </c>
      <c r="AG23" s="31">
        <v>500</v>
      </c>
      <c r="AH23" s="234"/>
      <c r="AI23" s="50"/>
      <c r="AJ23" s="230"/>
      <c r="AK23" s="210"/>
      <c r="AL23" s="230"/>
      <c r="AM23" s="230"/>
      <c r="AN23" s="232"/>
      <c r="AO23" s="226"/>
    </row>
    <row r="24" spans="2:43" x14ac:dyDescent="0.2">
      <c r="B24" s="11">
        <v>13</v>
      </c>
      <c r="C24" s="12" t="s">
        <v>54</v>
      </c>
      <c r="D24" s="3">
        <v>1414</v>
      </c>
      <c r="E24" s="31">
        <v>1630</v>
      </c>
      <c r="F24" s="86">
        <v>1144</v>
      </c>
      <c r="G24" s="31">
        <v>737</v>
      </c>
      <c r="H24" s="3">
        <v>630</v>
      </c>
      <c r="I24" s="3">
        <v>594</v>
      </c>
      <c r="J24" s="3">
        <v>610</v>
      </c>
      <c r="K24" s="3">
        <v>538</v>
      </c>
      <c r="L24" s="3">
        <v>397</v>
      </c>
      <c r="M24" s="3">
        <v>340</v>
      </c>
      <c r="N24" s="3">
        <v>285</v>
      </c>
      <c r="O24" s="3">
        <v>298</v>
      </c>
      <c r="P24" s="3">
        <v>374</v>
      </c>
      <c r="Q24" s="3">
        <v>293</v>
      </c>
      <c r="R24" s="3">
        <v>279</v>
      </c>
      <c r="S24" s="3">
        <v>240</v>
      </c>
      <c r="T24" s="3">
        <v>231</v>
      </c>
      <c r="U24" s="3">
        <v>200</v>
      </c>
      <c r="V24" s="3">
        <v>200</v>
      </c>
      <c r="W24" s="3">
        <v>180</v>
      </c>
      <c r="X24" s="3">
        <v>174</v>
      </c>
      <c r="Y24" s="3">
        <v>149</v>
      </c>
      <c r="Z24" s="3">
        <v>142</v>
      </c>
      <c r="AA24" s="31">
        <v>124</v>
      </c>
      <c r="AB24" s="31">
        <v>123</v>
      </c>
      <c r="AC24" s="31">
        <v>111.17400000000001</v>
      </c>
      <c r="AD24" s="31">
        <v>108</v>
      </c>
      <c r="AE24" s="86">
        <v>0</v>
      </c>
      <c r="AF24" s="31">
        <v>0</v>
      </c>
      <c r="AG24" s="31">
        <v>19.713999999999999</v>
      </c>
      <c r="AH24" s="31">
        <v>20</v>
      </c>
      <c r="AI24" s="86">
        <v>16</v>
      </c>
      <c r="AJ24" s="31">
        <v>17</v>
      </c>
      <c r="AK24" s="86">
        <v>18</v>
      </c>
      <c r="AL24" s="31">
        <v>19</v>
      </c>
      <c r="AM24" s="3">
        <v>19.451000000000001</v>
      </c>
      <c r="AN24" s="27">
        <v>17.356999999999999</v>
      </c>
      <c r="AO24" s="191">
        <f t="shared" si="4"/>
        <v>89.234486658783609</v>
      </c>
    </row>
    <row r="25" spans="2:43" x14ac:dyDescent="0.2">
      <c r="B25" s="11">
        <v>14</v>
      </c>
      <c r="C25" s="12" t="s">
        <v>11</v>
      </c>
      <c r="D25" s="3">
        <v>7719</v>
      </c>
      <c r="E25" s="31">
        <v>9313</v>
      </c>
      <c r="F25" s="86">
        <v>11059</v>
      </c>
      <c r="G25" s="31">
        <v>13261</v>
      </c>
      <c r="H25" s="3">
        <v>15337</v>
      </c>
      <c r="I25" s="3">
        <v>14800</v>
      </c>
      <c r="J25" s="3">
        <v>16086</v>
      </c>
      <c r="K25" s="3">
        <v>15400</v>
      </c>
      <c r="L25" s="3">
        <v>15772</v>
      </c>
      <c r="M25" s="3">
        <f>15900-300-1900</f>
        <v>13700</v>
      </c>
      <c r="N25" s="3">
        <v>14976</v>
      </c>
      <c r="O25" s="3">
        <v>15000</v>
      </c>
      <c r="P25" s="3">
        <v>14220</v>
      </c>
      <c r="Q25" s="3">
        <v>14600</v>
      </c>
      <c r="R25" s="3">
        <v>13262</v>
      </c>
      <c r="S25" s="3">
        <v>13400</v>
      </c>
      <c r="T25" s="3">
        <v>11743</v>
      </c>
      <c r="U25" s="3">
        <v>13100</v>
      </c>
      <c r="V25" s="3">
        <v>10729</v>
      </c>
      <c r="W25" s="3">
        <v>6000</v>
      </c>
      <c r="X25" s="3">
        <v>5290</v>
      </c>
      <c r="Y25" s="3">
        <v>5700</v>
      </c>
      <c r="Z25" s="3">
        <v>4953</v>
      </c>
      <c r="AA25" s="31">
        <v>5300</v>
      </c>
      <c r="AB25" s="31">
        <v>4761</v>
      </c>
      <c r="AC25" s="31">
        <v>5200</v>
      </c>
      <c r="AD25" s="31">
        <v>4562</v>
      </c>
      <c r="AE25" s="86">
        <v>4900</v>
      </c>
      <c r="AF25" s="31">
        <v>4280</v>
      </c>
      <c r="AG25" s="31">
        <v>4600</v>
      </c>
      <c r="AH25" s="31">
        <v>3947</v>
      </c>
      <c r="AI25" s="86">
        <f>4400-200-50</f>
        <v>4150</v>
      </c>
      <c r="AJ25" s="31">
        <v>3916</v>
      </c>
      <c r="AK25" s="86">
        <v>4000</v>
      </c>
      <c r="AL25" s="31">
        <v>3978</v>
      </c>
      <c r="AM25" s="3">
        <v>4100</v>
      </c>
      <c r="AN25" s="27">
        <v>4200</v>
      </c>
      <c r="AO25" s="191">
        <f t="shared" si="4"/>
        <v>102.4390243902439</v>
      </c>
    </row>
    <row r="26" spans="2:43" x14ac:dyDescent="0.2">
      <c r="B26" s="11">
        <v>15</v>
      </c>
      <c r="C26" s="12" t="s">
        <v>12</v>
      </c>
      <c r="D26" s="3">
        <v>731</v>
      </c>
      <c r="E26" s="31">
        <f>544-20</f>
        <v>524</v>
      </c>
      <c r="F26" s="86">
        <f>485+1166+164+15+441</f>
        <v>2271</v>
      </c>
      <c r="G26" s="31">
        <v>496</v>
      </c>
      <c r="H26" s="3">
        <f>1654-2</f>
        <v>1652</v>
      </c>
      <c r="I26" s="3">
        <f>497+100+11</f>
        <v>608</v>
      </c>
      <c r="J26" s="3">
        <f>200*0+474+9</f>
        <v>483</v>
      </c>
      <c r="K26" s="3">
        <v>2487</v>
      </c>
      <c r="L26" s="3">
        <v>2026</v>
      </c>
      <c r="M26" s="3">
        <f>540+101+7</f>
        <v>648</v>
      </c>
      <c r="N26" s="3">
        <f>542-20</f>
        <v>522</v>
      </c>
      <c r="O26" s="3">
        <v>1086</v>
      </c>
      <c r="P26" s="3">
        <v>1058</v>
      </c>
      <c r="Q26" s="3">
        <v>1195</v>
      </c>
      <c r="R26" s="3">
        <v>1214</v>
      </c>
      <c r="S26" s="3">
        <v>1194</v>
      </c>
      <c r="T26" s="3">
        <v>2112</v>
      </c>
      <c r="U26" s="3">
        <v>613</v>
      </c>
      <c r="V26" s="3">
        <v>515</v>
      </c>
      <c r="W26" s="3">
        <v>1152</v>
      </c>
      <c r="X26" s="3">
        <v>1121</v>
      </c>
      <c r="Y26" s="3">
        <v>1207</v>
      </c>
      <c r="Z26" s="3">
        <v>1941</v>
      </c>
      <c r="AA26" s="31">
        <v>1867</v>
      </c>
      <c r="AB26" s="31">
        <v>1551</v>
      </c>
      <c r="AC26" s="31">
        <v>612.13</v>
      </c>
      <c r="AD26" s="31">
        <v>496</v>
      </c>
      <c r="AE26" s="86">
        <f>512+600</f>
        <v>1112</v>
      </c>
      <c r="AF26" s="31">
        <f>507+532</f>
        <v>1039</v>
      </c>
      <c r="AG26" s="31">
        <v>1911.6120000000001</v>
      </c>
      <c r="AH26" s="31">
        <f>527+482+553</f>
        <v>1562</v>
      </c>
      <c r="AI26" s="86">
        <f>569+1029</f>
        <v>1598</v>
      </c>
      <c r="AJ26" s="31">
        <f>560+922+249</f>
        <v>1731</v>
      </c>
      <c r="AK26" s="86">
        <f>583+126+691</f>
        <v>1400</v>
      </c>
      <c r="AL26" s="31">
        <v>1194</v>
      </c>
      <c r="AM26" s="3">
        <v>1396.615</v>
      </c>
      <c r="AN26" s="27">
        <v>1957.01</v>
      </c>
      <c r="AO26" s="191">
        <f t="shared" si="4"/>
        <v>140.12523136297406</v>
      </c>
    </row>
    <row r="27" spans="2:43" ht="9.75" customHeight="1" x14ac:dyDescent="0.2">
      <c r="B27" s="11">
        <v>16</v>
      </c>
      <c r="C27" s="12" t="s">
        <v>13</v>
      </c>
      <c r="D27" s="76">
        <f>754-2</f>
        <v>752</v>
      </c>
      <c r="E27" s="78">
        <f>625</f>
        <v>625</v>
      </c>
      <c r="F27" s="79">
        <f>19+481</f>
        <v>500</v>
      </c>
      <c r="G27" s="78">
        <v>612</v>
      </c>
      <c r="H27" s="76">
        <v>700</v>
      </c>
      <c r="I27" s="76">
        <v>0</v>
      </c>
      <c r="J27" s="76">
        <v>455</v>
      </c>
      <c r="K27" s="3">
        <v>50</v>
      </c>
      <c r="L27" s="76">
        <v>550</v>
      </c>
      <c r="M27" s="76">
        <v>700</v>
      </c>
      <c r="N27" s="76">
        <v>700</v>
      </c>
      <c r="O27" s="76">
        <v>800</v>
      </c>
      <c r="P27" s="76">
        <v>800</v>
      </c>
      <c r="Q27" s="76">
        <v>700</v>
      </c>
      <c r="R27" s="76">
        <v>630</v>
      </c>
      <c r="S27" s="76">
        <v>700</v>
      </c>
      <c r="T27" s="76">
        <v>700</v>
      </c>
      <c r="U27" s="76">
        <v>700</v>
      </c>
      <c r="V27" s="76">
        <v>700</v>
      </c>
      <c r="W27" s="76">
        <v>700</v>
      </c>
      <c r="X27" s="76">
        <v>700</v>
      </c>
      <c r="Y27" s="76">
        <v>700</v>
      </c>
      <c r="Z27" s="76">
        <v>700</v>
      </c>
      <c r="AA27" s="31">
        <v>680</v>
      </c>
      <c r="AB27" s="31">
        <v>680</v>
      </c>
      <c r="AC27" s="31">
        <v>700</v>
      </c>
      <c r="AD27" s="31">
        <v>700</v>
      </c>
      <c r="AE27" s="79">
        <v>700</v>
      </c>
      <c r="AF27" s="31">
        <v>700</v>
      </c>
      <c r="AG27" s="31">
        <v>700</v>
      </c>
      <c r="AH27" s="31">
        <v>700</v>
      </c>
      <c r="AI27" s="79">
        <v>700</v>
      </c>
      <c r="AJ27" s="31">
        <v>700</v>
      </c>
      <c r="AK27" s="79">
        <v>700</v>
      </c>
      <c r="AL27" s="31">
        <v>700</v>
      </c>
      <c r="AM27" s="3">
        <v>700</v>
      </c>
      <c r="AN27" s="27">
        <v>700</v>
      </c>
      <c r="AO27" s="191">
        <f t="shared" si="4"/>
        <v>100</v>
      </c>
    </row>
    <row r="28" spans="2:43" x14ac:dyDescent="0.2">
      <c r="B28" s="11">
        <v>17</v>
      </c>
      <c r="C28" s="38" t="s">
        <v>14</v>
      </c>
      <c r="D28" s="137">
        <v>907</v>
      </c>
      <c r="E28" s="24">
        <v>231</v>
      </c>
      <c r="F28" s="138">
        <v>192</v>
      </c>
      <c r="G28" s="24">
        <v>38</v>
      </c>
      <c r="H28" s="137">
        <v>116</v>
      </c>
      <c r="I28" s="137">
        <f>1058-200</f>
        <v>858</v>
      </c>
      <c r="J28" s="137">
        <v>162</v>
      </c>
      <c r="K28" s="76">
        <v>889</v>
      </c>
      <c r="L28" s="137">
        <v>421</v>
      </c>
      <c r="M28" s="137">
        <f>778-40-150</f>
        <v>588</v>
      </c>
      <c r="N28" s="76">
        <v>244</v>
      </c>
      <c r="O28" s="76">
        <v>706</v>
      </c>
      <c r="P28" s="76">
        <v>401</v>
      </c>
      <c r="Q28" s="76">
        <v>621</v>
      </c>
      <c r="R28" s="76">
        <v>1121</v>
      </c>
      <c r="S28" s="76">
        <v>2969</v>
      </c>
      <c r="T28" s="76">
        <v>2792</v>
      </c>
      <c r="U28" s="76">
        <v>1998</v>
      </c>
      <c r="V28" s="76">
        <v>1491</v>
      </c>
      <c r="W28" s="76">
        <v>1660</v>
      </c>
      <c r="X28" s="76">
        <v>1553</v>
      </c>
      <c r="Y28" s="76">
        <v>2250</v>
      </c>
      <c r="Z28" s="76">
        <v>2670</v>
      </c>
      <c r="AA28" s="31">
        <v>2250</v>
      </c>
      <c r="AB28" s="31">
        <v>3020</v>
      </c>
      <c r="AC28" s="31">
        <v>2540</v>
      </c>
      <c r="AD28" s="31">
        <v>2775</v>
      </c>
      <c r="AE28" s="138">
        <f>1270+2200+1000</f>
        <v>4470</v>
      </c>
      <c r="AF28" s="31">
        <f>2200+3824+1000</f>
        <v>7024</v>
      </c>
      <c r="AG28" s="31">
        <v>5130</v>
      </c>
      <c r="AH28" s="31">
        <f>31+2800</f>
        <v>2831</v>
      </c>
      <c r="AI28" s="138">
        <f>900+2800-480+1900</f>
        <v>5120</v>
      </c>
      <c r="AJ28" s="31">
        <f>0+4330</f>
        <v>4330</v>
      </c>
      <c r="AK28" s="138">
        <f>480</f>
        <v>480</v>
      </c>
      <c r="AL28" s="31">
        <v>73</v>
      </c>
      <c r="AM28" s="3">
        <v>400</v>
      </c>
      <c r="AN28" s="27">
        <v>0</v>
      </c>
      <c r="AO28" s="191">
        <f t="shared" si="4"/>
        <v>0</v>
      </c>
    </row>
    <row r="29" spans="2:43" ht="21.75" customHeight="1" x14ac:dyDescent="0.2">
      <c r="B29" s="11">
        <v>18</v>
      </c>
      <c r="C29" s="39" t="s">
        <v>72</v>
      </c>
      <c r="D29" s="1">
        <v>5569</v>
      </c>
      <c r="E29" s="29">
        <v>4240</v>
      </c>
      <c r="F29" s="2">
        <v>2930</v>
      </c>
      <c r="G29" s="29">
        <v>6717</v>
      </c>
      <c r="H29" s="1">
        <f>5477-200</f>
        <v>5277</v>
      </c>
      <c r="I29" s="1">
        <f>963-132</f>
        <v>831</v>
      </c>
      <c r="J29" s="1">
        <v>831</v>
      </c>
      <c r="K29" s="137">
        <v>1793</v>
      </c>
      <c r="L29" s="1">
        <v>1793</v>
      </c>
      <c r="M29" s="1">
        <v>1400</v>
      </c>
      <c r="N29" s="3">
        <v>1709</v>
      </c>
      <c r="O29" s="3">
        <v>1002</v>
      </c>
      <c r="P29" s="3">
        <v>1002</v>
      </c>
      <c r="Q29" s="3">
        <v>1440</v>
      </c>
      <c r="R29" s="3">
        <v>1425</v>
      </c>
      <c r="S29" s="3">
        <v>1270</v>
      </c>
      <c r="T29" s="3">
        <v>1233</v>
      </c>
      <c r="U29" s="3">
        <v>1283</v>
      </c>
      <c r="V29" s="3">
        <v>1283</v>
      </c>
      <c r="W29" s="3">
        <f>1776-276</f>
        <v>1500</v>
      </c>
      <c r="X29" s="3">
        <v>1500</v>
      </c>
      <c r="Y29" s="3">
        <f>1670-270</f>
        <v>1400</v>
      </c>
      <c r="Z29" s="3">
        <v>1533</v>
      </c>
      <c r="AA29" s="31">
        <v>1723</v>
      </c>
      <c r="AB29" s="31">
        <v>1723</v>
      </c>
      <c r="AC29" s="31">
        <v>1300</v>
      </c>
      <c r="AD29" s="31">
        <v>1300</v>
      </c>
      <c r="AE29" s="2">
        <v>800</v>
      </c>
      <c r="AF29" s="31">
        <v>800</v>
      </c>
      <c r="AG29" s="31">
        <v>1770</v>
      </c>
      <c r="AH29" s="31">
        <v>1770</v>
      </c>
      <c r="AI29" s="2">
        <v>1800</v>
      </c>
      <c r="AJ29" s="31">
        <v>1800</v>
      </c>
      <c r="AK29" s="2">
        <v>1600</v>
      </c>
      <c r="AL29" s="31">
        <v>1660</v>
      </c>
      <c r="AM29" s="3">
        <v>1700</v>
      </c>
      <c r="AN29" s="27">
        <v>1900</v>
      </c>
      <c r="AO29" s="191">
        <f t="shared" si="4"/>
        <v>111.76470588235294</v>
      </c>
    </row>
    <row r="30" spans="2:43" x14ac:dyDescent="0.2">
      <c r="B30" s="11">
        <v>19</v>
      </c>
      <c r="C30" s="12" t="s">
        <v>45</v>
      </c>
      <c r="D30" s="76">
        <v>12</v>
      </c>
      <c r="E30" s="78">
        <v>13</v>
      </c>
      <c r="F30" s="79">
        <v>13</v>
      </c>
      <c r="G30" s="78">
        <v>14</v>
      </c>
      <c r="H30" s="76">
        <v>14</v>
      </c>
      <c r="I30" s="76">
        <v>14</v>
      </c>
      <c r="J30" s="76">
        <v>14</v>
      </c>
      <c r="K30" s="1">
        <v>14</v>
      </c>
      <c r="L30" s="76">
        <v>14</v>
      </c>
      <c r="M30" s="76">
        <v>14</v>
      </c>
      <c r="N30" s="76">
        <v>14</v>
      </c>
      <c r="O30" s="76">
        <v>14</v>
      </c>
      <c r="P30" s="76">
        <v>14</v>
      </c>
      <c r="Q30" s="76">
        <v>0</v>
      </c>
      <c r="R30" s="76">
        <v>0</v>
      </c>
      <c r="S30" s="76">
        <v>0</v>
      </c>
      <c r="T30" s="76"/>
      <c r="U30" s="76">
        <v>0</v>
      </c>
      <c r="V30" s="76"/>
      <c r="W30" s="76">
        <v>0</v>
      </c>
      <c r="X30" s="76"/>
      <c r="Y30" s="76">
        <v>0</v>
      </c>
      <c r="Z30" s="76"/>
      <c r="AA30" s="78">
        <v>0</v>
      </c>
      <c r="AB30" s="78"/>
      <c r="AC30" s="78">
        <v>0</v>
      </c>
      <c r="AD30" s="78"/>
      <c r="AE30" s="79"/>
      <c r="AF30" s="78"/>
      <c r="AG30" s="78">
        <v>0</v>
      </c>
      <c r="AH30" s="78"/>
      <c r="AI30" s="79"/>
      <c r="AJ30" s="78"/>
      <c r="AK30" s="79"/>
      <c r="AL30" s="78"/>
      <c r="AM30" s="76"/>
      <c r="AN30" s="77"/>
      <c r="AO30" s="186"/>
    </row>
    <row r="31" spans="2:43" x14ac:dyDescent="0.2">
      <c r="B31" s="11">
        <v>20</v>
      </c>
      <c r="C31" s="12" t="s">
        <v>15</v>
      </c>
      <c r="D31" s="76">
        <v>13</v>
      </c>
      <c r="E31" s="78">
        <v>20</v>
      </c>
      <c r="F31" s="79">
        <v>32</v>
      </c>
      <c r="G31" s="78">
        <v>35</v>
      </c>
      <c r="H31" s="76">
        <v>35</v>
      </c>
      <c r="I31" s="76">
        <v>35</v>
      </c>
      <c r="J31" s="76">
        <v>21</v>
      </c>
      <c r="K31" s="76">
        <v>21</v>
      </c>
      <c r="L31" s="76">
        <v>0</v>
      </c>
      <c r="M31" s="76">
        <v>0</v>
      </c>
      <c r="N31" s="76">
        <v>0</v>
      </c>
      <c r="O31" s="76">
        <v>0</v>
      </c>
      <c r="P31" s="76"/>
      <c r="Q31" s="76">
        <v>0</v>
      </c>
      <c r="R31" s="76"/>
      <c r="S31" s="76">
        <v>0</v>
      </c>
      <c r="T31" s="76"/>
      <c r="U31" s="76">
        <v>0</v>
      </c>
      <c r="V31" s="76"/>
      <c r="W31" s="76">
        <v>0</v>
      </c>
      <c r="X31" s="76"/>
      <c r="Y31" s="76">
        <v>0</v>
      </c>
      <c r="Z31" s="76"/>
      <c r="AA31" s="78">
        <v>0</v>
      </c>
      <c r="AB31" s="78"/>
      <c r="AC31" s="78">
        <v>0</v>
      </c>
      <c r="AD31" s="78"/>
      <c r="AE31" s="79"/>
      <c r="AF31" s="78"/>
      <c r="AG31" s="78">
        <v>0</v>
      </c>
      <c r="AH31" s="78"/>
      <c r="AI31" s="79"/>
      <c r="AJ31" s="78"/>
      <c r="AK31" s="79"/>
      <c r="AL31" s="78"/>
      <c r="AM31" s="76"/>
      <c r="AN31" s="77"/>
      <c r="AO31" s="186"/>
    </row>
    <row r="32" spans="2:43" x14ac:dyDescent="0.2">
      <c r="B32" s="11">
        <v>21</v>
      </c>
      <c r="C32" s="12" t="s">
        <v>16</v>
      </c>
      <c r="D32" s="76">
        <v>60</v>
      </c>
      <c r="E32" s="78">
        <v>110</v>
      </c>
      <c r="F32" s="79">
        <v>70</v>
      </c>
      <c r="G32" s="78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8"/>
      <c r="AB32" s="78"/>
      <c r="AC32" s="78"/>
      <c r="AD32" s="78"/>
      <c r="AE32" s="79"/>
      <c r="AF32" s="78"/>
      <c r="AG32" s="78"/>
      <c r="AH32" s="78"/>
      <c r="AI32" s="79"/>
      <c r="AJ32" s="78"/>
      <c r="AK32" s="79"/>
      <c r="AL32" s="78"/>
      <c r="AM32" s="76"/>
      <c r="AN32" s="77"/>
      <c r="AO32" s="186"/>
    </row>
    <row r="33" spans="2:41" x14ac:dyDescent="0.2">
      <c r="B33" s="11">
        <v>22</v>
      </c>
      <c r="C33" s="12" t="s">
        <v>81</v>
      </c>
      <c r="D33" s="76">
        <v>4</v>
      </c>
      <c r="E33" s="78">
        <v>21</v>
      </c>
      <c r="F33" s="79">
        <f>2+21</f>
        <v>23</v>
      </c>
      <c r="G33" s="78">
        <v>30</v>
      </c>
      <c r="H33" s="76">
        <v>93</v>
      </c>
      <c r="I33" s="76">
        <f>12+258</f>
        <v>270</v>
      </c>
      <c r="J33" s="76">
        <v>51</v>
      </c>
      <c r="K33" s="76">
        <v>309</v>
      </c>
      <c r="L33" s="76">
        <v>73</v>
      </c>
      <c r="M33" s="76">
        <f>1+257</f>
        <v>258</v>
      </c>
      <c r="N33" s="76">
        <v>111</v>
      </c>
      <c r="O33" s="76">
        <v>258</v>
      </c>
      <c r="P33" s="76">
        <v>115</v>
      </c>
      <c r="Q33" s="76">
        <v>1325</v>
      </c>
      <c r="R33" s="76">
        <v>288</v>
      </c>
      <c r="S33" s="76">
        <v>1217</v>
      </c>
      <c r="T33" s="76">
        <v>299</v>
      </c>
      <c r="U33" s="76">
        <v>850</v>
      </c>
      <c r="V33" s="76">
        <v>305</v>
      </c>
      <c r="W33" s="76">
        <v>750</v>
      </c>
      <c r="X33" s="76">
        <v>635</v>
      </c>
      <c r="Y33" s="76">
        <v>850</v>
      </c>
      <c r="Z33" s="76">
        <v>258</v>
      </c>
      <c r="AA33" s="78">
        <v>796.62900000000002</v>
      </c>
      <c r="AB33" s="78">
        <v>662</v>
      </c>
      <c r="AC33" s="78">
        <v>848.3</v>
      </c>
      <c r="AD33" s="78">
        <v>207</v>
      </c>
      <c r="AE33" s="79">
        <v>850</v>
      </c>
      <c r="AF33" s="78">
        <v>192</v>
      </c>
      <c r="AG33" s="78">
        <v>842</v>
      </c>
      <c r="AH33" s="78">
        <v>401</v>
      </c>
      <c r="AI33" s="79">
        <f>850-50</f>
        <v>800</v>
      </c>
      <c r="AJ33" s="78">
        <v>415</v>
      </c>
      <c r="AK33" s="79">
        <v>850</v>
      </c>
      <c r="AL33" s="78">
        <v>376</v>
      </c>
      <c r="AM33" s="76">
        <v>850</v>
      </c>
      <c r="AN33" s="77">
        <v>850</v>
      </c>
      <c r="AO33" s="186">
        <f t="shared" si="4"/>
        <v>100</v>
      </c>
    </row>
    <row r="34" spans="2:41" ht="15.75" x14ac:dyDescent="0.2">
      <c r="B34" s="11">
        <v>23</v>
      </c>
      <c r="C34" s="12" t="s">
        <v>69</v>
      </c>
      <c r="D34" s="76"/>
      <c r="E34" s="78">
        <v>50</v>
      </c>
      <c r="F34" s="79">
        <v>50</v>
      </c>
      <c r="G34" s="78">
        <v>0</v>
      </c>
      <c r="H34" s="76"/>
      <c r="I34" s="76">
        <v>0</v>
      </c>
      <c r="J34" s="76"/>
      <c r="K34" s="76"/>
      <c r="L34" s="76">
        <v>0</v>
      </c>
      <c r="M34" s="76">
        <v>0</v>
      </c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8"/>
      <c r="AB34" s="78"/>
      <c r="AC34" s="78"/>
      <c r="AD34" s="78"/>
      <c r="AE34" s="79"/>
      <c r="AF34" s="78"/>
      <c r="AG34" s="78"/>
      <c r="AH34" s="78"/>
      <c r="AI34" s="78"/>
      <c r="AJ34" s="78"/>
      <c r="AK34" s="76"/>
      <c r="AL34" s="78"/>
      <c r="AM34" s="76"/>
      <c r="AN34" s="77"/>
      <c r="AO34" s="186"/>
    </row>
    <row r="35" spans="2:41" ht="51" customHeight="1" x14ac:dyDescent="0.2">
      <c r="B35" s="11">
        <v>24</v>
      </c>
      <c r="C35" s="12" t="s">
        <v>82</v>
      </c>
      <c r="D35" s="76"/>
      <c r="E35" s="78">
        <v>535</v>
      </c>
      <c r="F35" s="79">
        <v>1000</v>
      </c>
      <c r="G35" s="78">
        <v>122</v>
      </c>
      <c r="H35" s="76">
        <v>25</v>
      </c>
      <c r="I35" s="76">
        <v>33</v>
      </c>
      <c r="J35" s="76">
        <v>6</v>
      </c>
      <c r="K35" s="76">
        <v>1201</v>
      </c>
      <c r="L35" s="76">
        <v>996</v>
      </c>
      <c r="M35" s="76">
        <f>222+53+875</f>
        <v>1150</v>
      </c>
      <c r="N35" s="76">
        <v>1010</v>
      </c>
      <c r="O35" s="76">
        <v>816</v>
      </c>
      <c r="P35" s="76">
        <v>766</v>
      </c>
      <c r="Q35" s="76">
        <v>688</v>
      </c>
      <c r="R35" s="76">
        <v>753</v>
      </c>
      <c r="S35" s="76">
        <v>2281</v>
      </c>
      <c r="T35" s="76">
        <v>1491</v>
      </c>
      <c r="U35" s="76">
        <f>1699-1</f>
        <v>1698</v>
      </c>
      <c r="V35" s="76">
        <v>779</v>
      </c>
      <c r="W35" s="76">
        <v>1008</v>
      </c>
      <c r="X35" s="76">
        <v>781</v>
      </c>
      <c r="Y35" s="76">
        <v>828</v>
      </c>
      <c r="Z35" s="76">
        <v>646</v>
      </c>
      <c r="AA35" s="78">
        <v>949</v>
      </c>
      <c r="AB35" s="78">
        <v>797</v>
      </c>
      <c r="AC35" s="78">
        <v>873</v>
      </c>
      <c r="AD35" s="78">
        <v>736</v>
      </c>
      <c r="AE35" s="79">
        <f>18+750+29+1</f>
        <v>798</v>
      </c>
      <c r="AF35" s="78">
        <v>638</v>
      </c>
      <c r="AG35" s="78">
        <v>722</v>
      </c>
      <c r="AH35" s="78">
        <v>580</v>
      </c>
      <c r="AI35" s="78">
        <f>644+80</f>
        <v>724</v>
      </c>
      <c r="AJ35" s="78">
        <v>535</v>
      </c>
      <c r="AK35" s="79">
        <v>544</v>
      </c>
      <c r="AL35" s="78">
        <v>500</v>
      </c>
      <c r="AM35" s="76">
        <v>526</v>
      </c>
      <c r="AN35" s="77">
        <v>479</v>
      </c>
      <c r="AO35" s="186">
        <f t="shared" si="4"/>
        <v>91.064638783269956</v>
      </c>
    </row>
    <row r="36" spans="2:41" x14ac:dyDescent="0.2">
      <c r="B36" s="11">
        <v>25</v>
      </c>
      <c r="C36" s="40" t="s">
        <v>70</v>
      </c>
      <c r="D36" s="92">
        <v>18</v>
      </c>
      <c r="E36" s="91">
        <v>39</v>
      </c>
      <c r="F36" s="91">
        <v>53</v>
      </c>
      <c r="G36" s="92">
        <v>51</v>
      </c>
      <c r="H36" s="92">
        <v>63</v>
      </c>
      <c r="I36" s="92">
        <f>68+8</f>
        <v>76</v>
      </c>
      <c r="J36" s="92">
        <v>48</v>
      </c>
      <c r="K36" s="92">
        <v>78</v>
      </c>
      <c r="L36" s="92">
        <v>46</v>
      </c>
      <c r="M36" s="92">
        <v>18</v>
      </c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8"/>
      <c r="AG36" s="78"/>
      <c r="AH36" s="78"/>
      <c r="AI36" s="79"/>
      <c r="AJ36" s="78"/>
      <c r="AK36" s="79"/>
      <c r="AL36" s="78"/>
      <c r="AM36" s="76"/>
      <c r="AN36" s="77"/>
      <c r="AO36" s="186"/>
    </row>
    <row r="37" spans="2:41" ht="38.25" x14ac:dyDescent="0.2">
      <c r="B37" s="11">
        <v>26</v>
      </c>
      <c r="C37" s="40" t="s">
        <v>43</v>
      </c>
      <c r="D37" s="92"/>
      <c r="E37" s="91">
        <v>77</v>
      </c>
      <c r="F37" s="91">
        <v>141</v>
      </c>
      <c r="G37" s="92">
        <v>0</v>
      </c>
      <c r="H37" s="92">
        <v>0</v>
      </c>
      <c r="I37" s="92">
        <f>575-431-50</f>
        <v>94</v>
      </c>
      <c r="J37" s="92">
        <v>0</v>
      </c>
      <c r="K37" s="92">
        <v>60</v>
      </c>
      <c r="L37" s="92">
        <v>0</v>
      </c>
      <c r="M37" s="92">
        <v>0</v>
      </c>
      <c r="N37" s="78"/>
      <c r="O37" s="78">
        <v>0</v>
      </c>
      <c r="P37" s="78"/>
      <c r="Q37" s="78">
        <v>0</v>
      </c>
      <c r="R37" s="78"/>
      <c r="S37" s="78">
        <v>0</v>
      </c>
      <c r="T37" s="78"/>
      <c r="U37" s="78">
        <v>0</v>
      </c>
      <c r="V37" s="78"/>
      <c r="W37" s="78">
        <v>0</v>
      </c>
      <c r="X37" s="78"/>
      <c r="Y37" s="78">
        <v>0</v>
      </c>
      <c r="Z37" s="78"/>
      <c r="AA37" s="78">
        <v>0</v>
      </c>
      <c r="AB37" s="78"/>
      <c r="AC37" s="78">
        <v>0</v>
      </c>
      <c r="AD37" s="78"/>
      <c r="AE37" s="79"/>
      <c r="AF37" s="78"/>
      <c r="AG37" s="78">
        <v>0</v>
      </c>
      <c r="AH37" s="78"/>
      <c r="AI37" s="79"/>
      <c r="AJ37" s="78"/>
      <c r="AK37" s="79"/>
      <c r="AL37" s="78"/>
      <c r="AM37" s="76"/>
      <c r="AN37" s="77"/>
      <c r="AO37" s="186"/>
    </row>
    <row r="38" spans="2:41" x14ac:dyDescent="0.2">
      <c r="B38" s="11">
        <v>27</v>
      </c>
      <c r="C38" s="40" t="s">
        <v>57</v>
      </c>
      <c r="D38" s="92"/>
      <c r="E38" s="92">
        <v>285</v>
      </c>
      <c r="F38" s="93">
        <v>305</v>
      </c>
      <c r="G38" s="92">
        <v>261</v>
      </c>
      <c r="H38" s="92">
        <v>1</v>
      </c>
      <c r="I38" s="92">
        <v>10</v>
      </c>
      <c r="J38" s="92">
        <v>0</v>
      </c>
      <c r="K38" s="92">
        <v>10</v>
      </c>
      <c r="L38" s="92"/>
      <c r="M38" s="92">
        <v>0</v>
      </c>
      <c r="N38" s="78"/>
      <c r="O38" s="78">
        <v>0</v>
      </c>
      <c r="P38" s="78"/>
      <c r="Q38" s="78">
        <v>0</v>
      </c>
      <c r="R38" s="78"/>
      <c r="S38" s="78">
        <v>0</v>
      </c>
      <c r="T38" s="78"/>
      <c r="U38" s="78">
        <v>0</v>
      </c>
      <c r="V38" s="78"/>
      <c r="W38" s="78">
        <v>0</v>
      </c>
      <c r="X38" s="78"/>
      <c r="Y38" s="78">
        <v>0</v>
      </c>
      <c r="Z38" s="78"/>
      <c r="AA38" s="78">
        <v>0</v>
      </c>
      <c r="AB38" s="78"/>
      <c r="AC38" s="78">
        <v>0</v>
      </c>
      <c r="AD38" s="78"/>
      <c r="AE38" s="93"/>
      <c r="AF38" s="78"/>
      <c r="AG38" s="78">
        <v>0</v>
      </c>
      <c r="AH38" s="78"/>
      <c r="AI38" s="93"/>
      <c r="AJ38" s="78"/>
      <c r="AK38" s="93"/>
      <c r="AL38" s="78"/>
      <c r="AM38" s="76"/>
      <c r="AN38" s="77"/>
      <c r="AO38" s="186"/>
    </row>
    <row r="39" spans="2:41" x14ac:dyDescent="0.2">
      <c r="B39" s="15">
        <v>28</v>
      </c>
      <c r="C39" s="16" t="s">
        <v>59</v>
      </c>
      <c r="D39" s="90"/>
      <c r="E39" s="92"/>
      <c r="F39" s="92"/>
      <c r="G39" s="90"/>
      <c r="H39" s="90"/>
      <c r="I39" s="90"/>
      <c r="J39" s="90"/>
      <c r="K39" s="90">
        <v>12</v>
      </c>
      <c r="L39" s="90">
        <v>0</v>
      </c>
      <c r="M39" s="90">
        <f>500-50</f>
        <v>450</v>
      </c>
      <c r="N39" s="76"/>
      <c r="O39" s="76">
        <v>300</v>
      </c>
      <c r="P39" s="76">
        <v>146</v>
      </c>
      <c r="Q39" s="76">
        <v>150</v>
      </c>
      <c r="R39" s="76">
        <v>141</v>
      </c>
      <c r="S39" s="76">
        <v>150</v>
      </c>
      <c r="T39" s="76">
        <v>120</v>
      </c>
      <c r="U39" s="76">
        <f>240-25</f>
        <v>215</v>
      </c>
      <c r="V39" s="76">
        <v>161</v>
      </c>
      <c r="W39" s="76">
        <f>240-39</f>
        <v>201</v>
      </c>
      <c r="X39" s="76">
        <v>159</v>
      </c>
      <c r="Y39" s="76">
        <f>240-65</f>
        <v>175</v>
      </c>
      <c r="Z39" s="76">
        <v>147</v>
      </c>
      <c r="AA39" s="78">
        <v>168</v>
      </c>
      <c r="AB39" s="78">
        <v>139</v>
      </c>
      <c r="AC39" s="78">
        <v>158</v>
      </c>
      <c r="AD39" s="78">
        <v>137</v>
      </c>
      <c r="AE39" s="93">
        <v>158</v>
      </c>
      <c r="AF39" s="78">
        <f>86+38</f>
        <v>124</v>
      </c>
      <c r="AG39" s="78">
        <v>158</v>
      </c>
      <c r="AH39" s="78">
        <f>79+36</f>
        <v>115</v>
      </c>
      <c r="AI39" s="93">
        <v>27</v>
      </c>
      <c r="AJ39" s="78">
        <f>75+34</f>
        <v>109</v>
      </c>
      <c r="AK39" s="93">
        <f>132</f>
        <v>132</v>
      </c>
      <c r="AL39" s="78">
        <v>104</v>
      </c>
      <c r="AM39" s="79">
        <v>120</v>
      </c>
      <c r="AN39" s="91">
        <f>120-10</f>
        <v>110</v>
      </c>
      <c r="AO39" s="186">
        <f t="shared" si="4"/>
        <v>91.666666666666657</v>
      </c>
    </row>
    <row r="40" spans="2:41" ht="25.5" x14ac:dyDescent="0.2">
      <c r="B40" s="15">
        <v>29</v>
      </c>
      <c r="C40" s="16" t="s">
        <v>87</v>
      </c>
      <c r="D40" s="90"/>
      <c r="E40" s="92"/>
      <c r="F40" s="92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>
        <v>0</v>
      </c>
      <c r="T40" s="90"/>
      <c r="U40" s="90">
        <v>0</v>
      </c>
      <c r="V40" s="90"/>
      <c r="W40" s="90">
        <v>0</v>
      </c>
      <c r="X40" s="90"/>
      <c r="Y40" s="90">
        <f>1967*0</f>
        <v>0</v>
      </c>
      <c r="Z40" s="90">
        <v>1959</v>
      </c>
      <c r="AA40" s="92">
        <v>2031.567</v>
      </c>
      <c r="AB40" s="92">
        <v>2024</v>
      </c>
      <c r="AC40" s="92">
        <v>2052.0529999999999</v>
      </c>
      <c r="AD40" s="92">
        <v>2052</v>
      </c>
      <c r="AE40" s="92">
        <v>2060</v>
      </c>
      <c r="AF40" s="92">
        <f>3433*0+2060</f>
        <v>2060</v>
      </c>
      <c r="AG40" s="92">
        <v>2066.442</v>
      </c>
      <c r="AH40" s="92">
        <v>2066</v>
      </c>
      <c r="AI40" s="93">
        <v>2081</v>
      </c>
      <c r="AJ40" s="92">
        <v>2081</v>
      </c>
      <c r="AK40" s="93">
        <v>2133</v>
      </c>
      <c r="AL40" s="92">
        <v>2133</v>
      </c>
      <c r="AM40" s="93">
        <v>2177.721</v>
      </c>
      <c r="AN40" s="91">
        <v>2238.6970000000001</v>
      </c>
      <c r="AO40" s="187">
        <f t="shared" si="4"/>
        <v>102.79999136712188</v>
      </c>
    </row>
    <row r="41" spans="2:41" ht="25.5" x14ac:dyDescent="0.2">
      <c r="B41" s="15">
        <v>30</v>
      </c>
      <c r="C41" s="16" t="s">
        <v>111</v>
      </c>
      <c r="D41" s="90"/>
      <c r="E41" s="92"/>
      <c r="F41" s="92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2"/>
      <c r="AB41" s="92"/>
      <c r="AC41" s="92"/>
      <c r="AD41" s="92"/>
      <c r="AE41" s="78"/>
      <c r="AF41" s="92">
        <v>0</v>
      </c>
      <c r="AG41" s="92">
        <v>700</v>
      </c>
      <c r="AH41" s="92">
        <v>0</v>
      </c>
      <c r="AI41" s="92">
        <v>650</v>
      </c>
      <c r="AJ41" s="92">
        <v>1800</v>
      </c>
      <c r="AK41" s="93">
        <v>750</v>
      </c>
      <c r="AL41" s="92">
        <v>500</v>
      </c>
      <c r="AM41" s="93">
        <v>1800</v>
      </c>
      <c r="AN41" s="91">
        <v>1500</v>
      </c>
      <c r="AO41" s="187">
        <f t="shared" si="4"/>
        <v>83.333333333333343</v>
      </c>
    </row>
    <row r="42" spans="2:41" ht="26.25" customHeight="1" x14ac:dyDescent="0.2">
      <c r="B42" s="11">
        <v>31</v>
      </c>
      <c r="C42" s="12" t="s">
        <v>112</v>
      </c>
      <c r="D42" s="76"/>
      <c r="E42" s="78"/>
      <c r="F42" s="78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90">
        <v>8775</v>
      </c>
      <c r="W42" s="76"/>
      <c r="X42" s="90">
        <v>11700</v>
      </c>
      <c r="Y42" s="76"/>
      <c r="Z42" s="90">
        <v>11700</v>
      </c>
      <c r="AA42" s="78"/>
      <c r="AB42" s="90">
        <v>14700</v>
      </c>
      <c r="AC42" s="78"/>
      <c r="AD42" s="90">
        <v>15700</v>
      </c>
      <c r="AE42" s="78"/>
      <c r="AF42" s="90">
        <v>20399</v>
      </c>
      <c r="AG42" s="78"/>
      <c r="AH42" s="90">
        <f>25260</f>
        <v>25260</v>
      </c>
      <c r="AI42" s="76"/>
      <c r="AJ42" s="78">
        <v>24238</v>
      </c>
      <c r="AK42" s="93">
        <v>25000</v>
      </c>
      <c r="AL42" s="78">
        <v>26185</v>
      </c>
      <c r="AM42" s="79">
        <v>27000</v>
      </c>
      <c r="AN42" s="91">
        <v>26500</v>
      </c>
      <c r="AO42" s="186">
        <f t="shared" si="4"/>
        <v>98.148148148148152</v>
      </c>
    </row>
    <row r="43" spans="2:41" ht="27" customHeight="1" thickBot="1" x14ac:dyDescent="0.25">
      <c r="B43" s="41">
        <v>32</v>
      </c>
      <c r="C43" s="42" t="s">
        <v>17</v>
      </c>
      <c r="D43" s="139">
        <v>30</v>
      </c>
      <c r="E43" s="140">
        <v>32</v>
      </c>
      <c r="F43" s="140">
        <v>32</v>
      </c>
      <c r="G43" s="139">
        <v>36</v>
      </c>
      <c r="H43" s="139">
        <v>40</v>
      </c>
      <c r="I43" s="139">
        <f>40+5</f>
        <v>45</v>
      </c>
      <c r="J43" s="139">
        <v>45</v>
      </c>
      <c r="K43" s="139">
        <v>45</v>
      </c>
      <c r="L43" s="139">
        <v>44</v>
      </c>
      <c r="M43" s="139">
        <v>45</v>
      </c>
      <c r="N43" s="139">
        <v>45</v>
      </c>
      <c r="O43" s="139">
        <v>45</v>
      </c>
      <c r="P43" s="139">
        <v>45</v>
      </c>
      <c r="Q43" s="139">
        <v>45</v>
      </c>
      <c r="R43" s="139">
        <v>45</v>
      </c>
      <c r="S43" s="139">
        <v>40</v>
      </c>
      <c r="T43" s="139">
        <v>40</v>
      </c>
      <c r="U43" s="139">
        <v>40</v>
      </c>
      <c r="V43" s="139">
        <v>40</v>
      </c>
      <c r="W43" s="139">
        <f>40-8</f>
        <v>32</v>
      </c>
      <c r="X43" s="139">
        <v>31</v>
      </c>
      <c r="Y43" s="139">
        <f>40-8</f>
        <v>32</v>
      </c>
      <c r="Z43" s="139">
        <v>32</v>
      </c>
      <c r="AA43" s="140">
        <v>32</v>
      </c>
      <c r="AB43" s="140">
        <v>32</v>
      </c>
      <c r="AC43" s="140">
        <v>32</v>
      </c>
      <c r="AD43" s="140">
        <v>39</v>
      </c>
      <c r="AE43" s="140">
        <v>40</v>
      </c>
      <c r="AF43" s="140">
        <f>26.071*0+53</f>
        <v>53</v>
      </c>
      <c r="AG43" s="140">
        <v>40</v>
      </c>
      <c r="AH43" s="140">
        <v>40</v>
      </c>
      <c r="AI43" s="140">
        <v>40</v>
      </c>
      <c r="AJ43" s="140">
        <v>41</v>
      </c>
      <c r="AK43" s="141">
        <v>40</v>
      </c>
      <c r="AL43" s="140">
        <v>47.9</v>
      </c>
      <c r="AM43" s="139">
        <v>53</v>
      </c>
      <c r="AN43" s="142">
        <v>53</v>
      </c>
      <c r="AO43" s="188">
        <f t="shared" si="4"/>
        <v>100</v>
      </c>
    </row>
    <row r="44" spans="2:41" ht="32.25" thickBot="1" x14ac:dyDescent="0.25">
      <c r="B44" s="43"/>
      <c r="C44" s="51" t="s">
        <v>18</v>
      </c>
      <c r="D44" s="143">
        <f>SUM(D8:D43)</f>
        <v>331937</v>
      </c>
      <c r="E44" s="144">
        <f>SUM(E8:E43)</f>
        <v>351506</v>
      </c>
      <c r="F44" s="144">
        <f>SUM(F8:F43)</f>
        <v>377028</v>
      </c>
      <c r="G44" s="143">
        <f t="shared" ref="G44:M44" si="5">SUM(G8:G43)</f>
        <v>401343</v>
      </c>
      <c r="H44" s="143">
        <f t="shared" si="5"/>
        <v>418252</v>
      </c>
      <c r="I44" s="143">
        <f>SUM(I8:I43)</f>
        <v>431251</v>
      </c>
      <c r="J44" s="143">
        <f t="shared" si="5"/>
        <v>425050</v>
      </c>
      <c r="K44" s="143">
        <f t="shared" si="5"/>
        <v>459927</v>
      </c>
      <c r="L44" s="143">
        <f t="shared" si="5"/>
        <v>473731</v>
      </c>
      <c r="M44" s="143">
        <f t="shared" si="5"/>
        <v>525472</v>
      </c>
      <c r="N44" s="143">
        <f t="shared" ref="N44:AN44" si="6">SUM(N8:N43)</f>
        <v>518971</v>
      </c>
      <c r="O44" s="143">
        <f t="shared" si="6"/>
        <v>540574</v>
      </c>
      <c r="P44" s="143">
        <f t="shared" si="6"/>
        <v>545155</v>
      </c>
      <c r="Q44" s="143">
        <f>SUM(Q8:Q43)</f>
        <v>572367</v>
      </c>
      <c r="R44" s="143">
        <f>SUM(R8:R43)</f>
        <v>585042</v>
      </c>
      <c r="S44" s="143">
        <f>SUM(S8:S43)</f>
        <v>608965</v>
      </c>
      <c r="T44" s="143">
        <f t="shared" si="6"/>
        <v>589102</v>
      </c>
      <c r="U44" s="143">
        <f t="shared" ref="U44" si="7">SUM(U8:U43)</f>
        <v>628944</v>
      </c>
      <c r="V44" s="143">
        <f t="shared" si="6"/>
        <v>613295</v>
      </c>
      <c r="W44" s="143">
        <f t="shared" si="6"/>
        <v>648564</v>
      </c>
      <c r="X44" s="143">
        <f t="shared" si="6"/>
        <v>625399</v>
      </c>
      <c r="Y44" s="143">
        <f>SUM(Y8:Y43)</f>
        <v>641310.76799999992</v>
      </c>
      <c r="Z44" s="143">
        <f>SUM(Z8:Z43)</f>
        <v>640042</v>
      </c>
      <c r="AA44" s="143">
        <f t="shared" si="6"/>
        <v>660620.076</v>
      </c>
      <c r="AB44" s="143">
        <f>SUM(AB8:AB43)</f>
        <v>654984</v>
      </c>
      <c r="AC44" s="143">
        <v>667823.41500000004</v>
      </c>
      <c r="AD44" s="143">
        <f t="shared" ref="AD44:AM44" si="8">SUM(AD8:AD43)</f>
        <v>662450</v>
      </c>
      <c r="AE44" s="143">
        <f t="shared" si="8"/>
        <v>661417</v>
      </c>
      <c r="AF44" s="143">
        <f t="shared" si="8"/>
        <v>667051</v>
      </c>
      <c r="AG44" s="143">
        <f t="shared" si="8"/>
        <v>681276.93900000001</v>
      </c>
      <c r="AH44" s="143">
        <f t="shared" si="8"/>
        <v>689026</v>
      </c>
      <c r="AI44" s="143">
        <f t="shared" si="8"/>
        <v>710575</v>
      </c>
      <c r="AJ44" s="143">
        <f t="shared" si="8"/>
        <v>723173.4</v>
      </c>
      <c r="AK44" s="143">
        <f t="shared" si="8"/>
        <v>776177</v>
      </c>
      <c r="AL44" s="144">
        <f t="shared" si="8"/>
        <v>767570.9</v>
      </c>
      <c r="AM44" s="143">
        <f t="shared" si="8"/>
        <v>871154.25</v>
      </c>
      <c r="AN44" s="145">
        <f t="shared" si="6"/>
        <v>931752.82</v>
      </c>
      <c r="AO44" s="189">
        <f t="shared" si="4"/>
        <v>106.95612401592484</v>
      </c>
    </row>
    <row r="45" spans="2:41" ht="15.75" x14ac:dyDescent="0.2">
      <c r="B45" s="13"/>
      <c r="C45" s="14" t="s">
        <v>19</v>
      </c>
      <c r="D45" s="76"/>
      <c r="E45" s="146"/>
      <c r="F45" s="14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6"/>
      <c r="AN45" s="77"/>
      <c r="AO45" s="186"/>
    </row>
    <row r="46" spans="2:41" x14ac:dyDescent="0.2">
      <c r="B46" s="44"/>
      <c r="C46" s="45" t="s">
        <v>20</v>
      </c>
      <c r="D46" s="76"/>
      <c r="E46" s="78"/>
      <c r="F46" s="78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6"/>
      <c r="AN46" s="77"/>
      <c r="AO46" s="186"/>
    </row>
    <row r="47" spans="2:41" x14ac:dyDescent="0.2">
      <c r="B47" s="11">
        <v>1</v>
      </c>
      <c r="C47" s="12" t="s">
        <v>21</v>
      </c>
      <c r="D47" s="3">
        <v>276</v>
      </c>
      <c r="E47" s="31">
        <v>479</v>
      </c>
      <c r="F47" s="31">
        <f>530-66</f>
        <v>464</v>
      </c>
      <c r="G47" s="3">
        <v>496</v>
      </c>
      <c r="H47" s="3">
        <v>472</v>
      </c>
      <c r="I47" s="3">
        <v>400</v>
      </c>
      <c r="J47" s="3">
        <v>344</v>
      </c>
      <c r="K47" s="3">
        <v>300</v>
      </c>
      <c r="L47" s="3">
        <v>174</v>
      </c>
      <c r="M47" s="3">
        <v>100</v>
      </c>
      <c r="N47" s="3">
        <v>77</v>
      </c>
      <c r="O47" s="3">
        <v>64</v>
      </c>
      <c r="P47" s="3">
        <v>24</v>
      </c>
      <c r="Q47" s="3">
        <f>44-2</f>
        <v>42</v>
      </c>
      <c r="R47" s="3">
        <v>9</v>
      </c>
      <c r="S47" s="3">
        <v>77</v>
      </c>
      <c r="T47" s="3">
        <v>18</v>
      </c>
      <c r="U47" s="3">
        <f>50-36</f>
        <v>14</v>
      </c>
      <c r="V47" s="3">
        <v>23</v>
      </c>
      <c r="W47" s="78">
        <f>37-14</f>
        <v>23</v>
      </c>
      <c r="X47" s="78">
        <v>20</v>
      </c>
      <c r="Y47" s="78">
        <f>23-3</f>
        <v>20</v>
      </c>
      <c r="Z47" s="78">
        <v>16</v>
      </c>
      <c r="AA47" s="78">
        <v>15</v>
      </c>
      <c r="AB47" s="78">
        <v>9</v>
      </c>
      <c r="AC47" s="78">
        <v>18</v>
      </c>
      <c r="AD47" s="78">
        <v>4</v>
      </c>
      <c r="AE47" s="86">
        <v>2</v>
      </c>
      <c r="AF47" s="78">
        <v>0.2</v>
      </c>
      <c r="AG47" s="78">
        <v>0</v>
      </c>
      <c r="AH47" s="78"/>
      <c r="AI47" s="78">
        <v>0</v>
      </c>
      <c r="AJ47" s="78">
        <v>0</v>
      </c>
      <c r="AK47" s="78">
        <v>0</v>
      </c>
      <c r="AL47" s="78">
        <v>0</v>
      </c>
      <c r="AM47" s="90">
        <v>0</v>
      </c>
      <c r="AN47" s="91">
        <v>0</v>
      </c>
      <c r="AO47" s="186"/>
    </row>
    <row r="48" spans="2:41" x14ac:dyDescent="0.2">
      <c r="B48" s="11">
        <v>2</v>
      </c>
      <c r="C48" s="12" t="s">
        <v>22</v>
      </c>
      <c r="D48" s="3">
        <v>26</v>
      </c>
      <c r="E48" s="31">
        <v>21</v>
      </c>
      <c r="F48" s="31">
        <v>11</v>
      </c>
      <c r="G48" s="3">
        <v>7</v>
      </c>
      <c r="H48" s="3">
        <v>5</v>
      </c>
      <c r="I48" s="3">
        <v>6</v>
      </c>
      <c r="J48" s="3">
        <v>3</v>
      </c>
      <c r="K48" s="3">
        <v>4</v>
      </c>
      <c r="L48" s="3">
        <v>1</v>
      </c>
      <c r="M48" s="3">
        <v>1</v>
      </c>
      <c r="N48" s="3"/>
      <c r="O48" s="3">
        <v>1</v>
      </c>
      <c r="P48" s="3"/>
      <c r="Q48" s="3">
        <v>0</v>
      </c>
      <c r="R48" s="3"/>
      <c r="S48" s="3">
        <v>0</v>
      </c>
      <c r="T48" s="3"/>
      <c r="U48" s="3">
        <v>0</v>
      </c>
      <c r="V48" s="3"/>
      <c r="W48" s="78">
        <v>0</v>
      </c>
      <c r="X48" s="78"/>
      <c r="Y48" s="78">
        <v>0.3</v>
      </c>
      <c r="Z48" s="78"/>
      <c r="AA48" s="78">
        <v>0.3</v>
      </c>
      <c r="AB48" s="78"/>
      <c r="AC48" s="78">
        <v>0.3</v>
      </c>
      <c r="AD48" s="78"/>
      <c r="AE48" s="86"/>
      <c r="AF48" s="78"/>
      <c r="AG48" s="78">
        <v>0.3</v>
      </c>
      <c r="AH48" s="78"/>
      <c r="AI48" s="78"/>
      <c r="AJ48" s="78"/>
      <c r="AK48" s="78"/>
      <c r="AL48" s="78">
        <v>0</v>
      </c>
      <c r="AM48" s="76">
        <v>0.2</v>
      </c>
      <c r="AN48" s="77">
        <v>0.1</v>
      </c>
      <c r="AO48" s="186"/>
    </row>
    <row r="49" spans="2:42" ht="25.5" x14ac:dyDescent="0.2">
      <c r="B49" s="11">
        <v>3</v>
      </c>
      <c r="C49" s="12" t="s">
        <v>23</v>
      </c>
      <c r="D49" s="76">
        <v>1</v>
      </c>
      <c r="E49" s="78">
        <v>1</v>
      </c>
      <c r="F49" s="78">
        <v>1</v>
      </c>
      <c r="G49" s="76">
        <v>0</v>
      </c>
      <c r="H49" s="76">
        <v>0</v>
      </c>
      <c r="I49" s="76">
        <v>1</v>
      </c>
      <c r="J49" s="76">
        <v>0</v>
      </c>
      <c r="K49" s="76">
        <v>1</v>
      </c>
      <c r="L49" s="76"/>
      <c r="M49" s="76"/>
      <c r="N49" s="76"/>
      <c r="O49" s="76">
        <v>0</v>
      </c>
      <c r="P49" s="76"/>
      <c r="Q49" s="76">
        <v>0</v>
      </c>
      <c r="R49" s="76"/>
      <c r="S49" s="76">
        <v>0</v>
      </c>
      <c r="T49" s="76"/>
      <c r="U49" s="76">
        <v>0</v>
      </c>
      <c r="V49" s="76"/>
      <c r="W49" s="78">
        <v>0</v>
      </c>
      <c r="X49" s="78"/>
      <c r="Y49" s="78">
        <v>0.3</v>
      </c>
      <c r="Z49" s="78"/>
      <c r="AA49" s="78">
        <v>0.3</v>
      </c>
      <c r="AB49" s="78"/>
      <c r="AC49" s="78">
        <v>0.3</v>
      </c>
      <c r="AD49" s="78"/>
      <c r="AE49" s="79"/>
      <c r="AF49" s="78"/>
      <c r="AG49" s="78">
        <v>0.3</v>
      </c>
      <c r="AH49" s="78"/>
      <c r="AI49" s="78"/>
      <c r="AJ49" s="78"/>
      <c r="AK49" s="78"/>
      <c r="AL49" s="78"/>
      <c r="AM49" s="76">
        <v>0.2</v>
      </c>
      <c r="AN49" s="77">
        <v>0.1</v>
      </c>
      <c r="AO49" s="186"/>
    </row>
    <row r="50" spans="2:42" ht="13.5" thickBot="1" x14ac:dyDescent="0.25">
      <c r="B50" s="11">
        <v>4</v>
      </c>
      <c r="C50" s="42" t="s">
        <v>24</v>
      </c>
      <c r="D50" s="139">
        <v>15</v>
      </c>
      <c r="E50" s="140">
        <v>25</v>
      </c>
      <c r="F50" s="140">
        <v>40</v>
      </c>
      <c r="G50" s="139">
        <v>26</v>
      </c>
      <c r="H50" s="139">
        <v>49</v>
      </c>
      <c r="I50" s="139">
        <f>42</f>
        <v>42</v>
      </c>
      <c r="J50" s="139">
        <v>44</v>
      </c>
      <c r="K50" s="139">
        <v>44</v>
      </c>
      <c r="L50" s="139">
        <v>40</v>
      </c>
      <c r="M50" s="139">
        <v>55</v>
      </c>
      <c r="N50" s="139">
        <v>45</v>
      </c>
      <c r="O50" s="139">
        <v>55</v>
      </c>
      <c r="P50" s="139">
        <v>42</v>
      </c>
      <c r="Q50" s="139">
        <v>55</v>
      </c>
      <c r="R50" s="139">
        <v>47</v>
      </c>
      <c r="S50" s="139">
        <v>55</v>
      </c>
      <c r="T50" s="139">
        <v>74</v>
      </c>
      <c r="U50" s="139">
        <v>60</v>
      </c>
      <c r="V50" s="139">
        <v>37</v>
      </c>
      <c r="W50" s="140">
        <v>70</v>
      </c>
      <c r="X50" s="140">
        <v>47</v>
      </c>
      <c r="Y50" s="140">
        <v>75</v>
      </c>
      <c r="Z50" s="140">
        <v>42</v>
      </c>
      <c r="AA50" s="140">
        <v>69.84</v>
      </c>
      <c r="AB50" s="140">
        <v>33</v>
      </c>
      <c r="AC50" s="140">
        <v>75</v>
      </c>
      <c r="AD50" s="140">
        <v>41</v>
      </c>
      <c r="AE50" s="79">
        <v>75</v>
      </c>
      <c r="AF50" s="140">
        <v>43</v>
      </c>
      <c r="AG50" s="140">
        <v>75</v>
      </c>
      <c r="AH50" s="140">
        <v>55</v>
      </c>
      <c r="AI50" s="140">
        <v>75</v>
      </c>
      <c r="AJ50" s="140">
        <v>42</v>
      </c>
      <c r="AK50" s="140">
        <v>75</v>
      </c>
      <c r="AL50" s="140">
        <v>59</v>
      </c>
      <c r="AM50" s="139">
        <v>75</v>
      </c>
      <c r="AN50" s="142">
        <v>70</v>
      </c>
      <c r="AO50" s="188">
        <f t="shared" si="4"/>
        <v>93.333333333333329</v>
      </c>
    </row>
    <row r="51" spans="2:42" ht="13.5" thickBot="1" x14ac:dyDescent="0.25">
      <c r="B51" s="46"/>
      <c r="C51" s="47" t="s">
        <v>25</v>
      </c>
      <c r="D51" s="147">
        <f>SUM(D47:D50)</f>
        <v>318</v>
      </c>
      <c r="E51" s="148">
        <f>SUM(E47:E50)</f>
        <v>526</v>
      </c>
      <c r="F51" s="148">
        <f>SUM(F47:F50)</f>
        <v>516</v>
      </c>
      <c r="G51" s="147">
        <f t="shared" ref="G51:M51" si="9">SUM(G47:G50)</f>
        <v>529</v>
      </c>
      <c r="H51" s="147">
        <f t="shared" si="9"/>
        <v>526</v>
      </c>
      <c r="I51" s="147">
        <f>SUM(I47:I50)</f>
        <v>449</v>
      </c>
      <c r="J51" s="147">
        <f t="shared" si="9"/>
        <v>391</v>
      </c>
      <c r="K51" s="147">
        <f t="shared" si="9"/>
        <v>349</v>
      </c>
      <c r="L51" s="147">
        <f t="shared" si="9"/>
        <v>215</v>
      </c>
      <c r="M51" s="147">
        <f t="shared" si="9"/>
        <v>156</v>
      </c>
      <c r="N51" s="147">
        <f t="shared" ref="N51:AN51" si="10">SUM(N47:N50)</f>
        <v>122</v>
      </c>
      <c r="O51" s="147">
        <f t="shared" si="10"/>
        <v>120</v>
      </c>
      <c r="P51" s="147">
        <f t="shared" si="10"/>
        <v>66</v>
      </c>
      <c r="Q51" s="147">
        <f>SUM(Q47:Q50)</f>
        <v>97</v>
      </c>
      <c r="R51" s="147">
        <f>SUM(R47:R50)</f>
        <v>56</v>
      </c>
      <c r="S51" s="147">
        <f>SUM(S47:S50)</f>
        <v>132</v>
      </c>
      <c r="T51" s="147">
        <f t="shared" si="10"/>
        <v>92</v>
      </c>
      <c r="U51" s="147">
        <f t="shared" ref="U51" si="11">SUM(U47:U50)</f>
        <v>74</v>
      </c>
      <c r="V51" s="147">
        <f t="shared" si="10"/>
        <v>60</v>
      </c>
      <c r="W51" s="147">
        <f t="shared" si="10"/>
        <v>93</v>
      </c>
      <c r="X51" s="147">
        <f t="shared" si="10"/>
        <v>67</v>
      </c>
      <c r="Y51" s="147">
        <f>SUM(Y47:Y50)</f>
        <v>95.6</v>
      </c>
      <c r="Z51" s="147">
        <f>SUM(Z47:Z50)</f>
        <v>58</v>
      </c>
      <c r="AA51" s="147">
        <f t="shared" si="10"/>
        <v>85.44</v>
      </c>
      <c r="AB51" s="147">
        <f>SUM(AB47:AB50)</f>
        <v>42</v>
      </c>
      <c r="AC51" s="147">
        <v>93.6</v>
      </c>
      <c r="AD51" s="147">
        <f t="shared" ref="AD51:AM51" si="12">SUM(AD47:AD50)</f>
        <v>45</v>
      </c>
      <c r="AE51" s="147">
        <f t="shared" si="12"/>
        <v>77</v>
      </c>
      <c r="AF51" s="147">
        <f t="shared" si="12"/>
        <v>43.2</v>
      </c>
      <c r="AG51" s="147">
        <f t="shared" si="12"/>
        <v>75.599999999999994</v>
      </c>
      <c r="AH51" s="147">
        <f t="shared" si="12"/>
        <v>55</v>
      </c>
      <c r="AI51" s="147">
        <f t="shared" si="12"/>
        <v>75</v>
      </c>
      <c r="AJ51" s="147">
        <f t="shared" si="12"/>
        <v>42</v>
      </c>
      <c r="AK51" s="147">
        <f t="shared" si="12"/>
        <v>75</v>
      </c>
      <c r="AL51" s="148">
        <f t="shared" si="12"/>
        <v>59</v>
      </c>
      <c r="AM51" s="147">
        <f t="shared" si="12"/>
        <v>75.400000000000006</v>
      </c>
      <c r="AN51" s="149">
        <f t="shared" si="10"/>
        <v>70.2</v>
      </c>
      <c r="AO51" s="190">
        <f t="shared" si="4"/>
        <v>93.103448275862064</v>
      </c>
    </row>
    <row r="52" spans="2:42" x14ac:dyDescent="0.2">
      <c r="B52" s="44"/>
      <c r="C52" s="45" t="s">
        <v>26</v>
      </c>
      <c r="D52" s="76"/>
      <c r="E52" s="146"/>
      <c r="F52" s="150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6"/>
      <c r="AN52" s="77"/>
      <c r="AO52" s="186"/>
    </row>
    <row r="53" spans="2:42" ht="25.5" x14ac:dyDescent="0.2">
      <c r="B53" s="11">
        <v>1</v>
      </c>
      <c r="C53" s="151" t="s">
        <v>27</v>
      </c>
      <c r="D53" s="3">
        <v>513</v>
      </c>
      <c r="E53" s="31">
        <v>620</v>
      </c>
      <c r="F53" s="3">
        <v>270</v>
      </c>
      <c r="G53" s="3">
        <v>210</v>
      </c>
      <c r="H53" s="4">
        <v>0</v>
      </c>
      <c r="I53" s="4">
        <v>0</v>
      </c>
      <c r="J53" s="4">
        <v>0</v>
      </c>
      <c r="K53" s="4"/>
      <c r="L53" s="4">
        <v>0</v>
      </c>
      <c r="M53" s="4">
        <v>0</v>
      </c>
      <c r="N53" s="4">
        <v>0</v>
      </c>
      <c r="O53" s="4">
        <v>0</v>
      </c>
      <c r="P53" s="4"/>
      <c r="Q53" s="4">
        <v>0</v>
      </c>
      <c r="R53" s="4"/>
      <c r="S53" s="4">
        <v>0</v>
      </c>
      <c r="T53" s="4"/>
      <c r="U53" s="4">
        <v>0</v>
      </c>
      <c r="V53" s="4"/>
      <c r="W53" s="4">
        <v>0</v>
      </c>
      <c r="X53" s="4"/>
      <c r="Y53" s="4">
        <v>0</v>
      </c>
      <c r="Z53" s="4"/>
      <c r="AA53" s="33">
        <v>0</v>
      </c>
      <c r="AB53" s="33"/>
      <c r="AC53" s="33">
        <v>0</v>
      </c>
      <c r="AD53" s="33"/>
      <c r="AE53" s="33"/>
      <c r="AF53" s="33"/>
      <c r="AG53" s="33">
        <v>0</v>
      </c>
      <c r="AH53" s="33"/>
      <c r="AI53" s="33"/>
      <c r="AJ53" s="33"/>
      <c r="AK53" s="33"/>
      <c r="AL53" s="33"/>
      <c r="AM53" s="4"/>
      <c r="AN53" s="28"/>
      <c r="AO53" s="191"/>
    </row>
    <row r="54" spans="2:42" ht="25.5" x14ac:dyDescent="0.2">
      <c r="B54" s="11">
        <v>2</v>
      </c>
      <c r="C54" s="12" t="s">
        <v>58</v>
      </c>
      <c r="D54" s="3">
        <v>1864</v>
      </c>
      <c r="E54" s="31">
        <v>648</v>
      </c>
      <c r="F54" s="3">
        <v>3557</v>
      </c>
      <c r="G54" s="3">
        <v>12183</v>
      </c>
      <c r="H54" s="3">
        <v>16335</v>
      </c>
      <c r="I54" s="3">
        <f>16872+1900-500-545+20</f>
        <v>17747</v>
      </c>
      <c r="J54" s="3">
        <v>17913</v>
      </c>
      <c r="K54" s="3">
        <v>7080</v>
      </c>
      <c r="L54" s="3">
        <v>20634</v>
      </c>
      <c r="M54" s="3">
        <f>8381+500</f>
        <v>8881</v>
      </c>
      <c r="N54" s="3">
        <v>4981</v>
      </c>
      <c r="O54" s="3">
        <v>5592</v>
      </c>
      <c r="P54" s="3">
        <v>3153</v>
      </c>
      <c r="Q54" s="3">
        <v>5046</v>
      </c>
      <c r="R54" s="3">
        <v>3000</v>
      </c>
      <c r="S54" s="3">
        <v>5123</v>
      </c>
      <c r="T54" s="3">
        <v>4740</v>
      </c>
      <c r="U54" s="3">
        <v>11386</v>
      </c>
      <c r="V54" s="3">
        <v>9723</v>
      </c>
      <c r="W54" s="3">
        <v>4105</v>
      </c>
      <c r="X54" s="3">
        <v>2628</v>
      </c>
      <c r="Y54" s="3">
        <v>2751</v>
      </c>
      <c r="Z54" s="3">
        <v>2171</v>
      </c>
      <c r="AA54" s="31">
        <v>3014</v>
      </c>
      <c r="AB54" s="31">
        <v>2052</v>
      </c>
      <c r="AC54" s="31">
        <v>2211</v>
      </c>
      <c r="AD54" s="31">
        <v>1394</v>
      </c>
      <c r="AE54" s="86">
        <f>1936+1</f>
        <v>1937</v>
      </c>
      <c r="AF54" s="31">
        <v>1582</v>
      </c>
      <c r="AG54" s="31">
        <v>1292</v>
      </c>
      <c r="AH54" s="31">
        <f>642+280</f>
        <v>922</v>
      </c>
      <c r="AI54" s="86">
        <v>453</v>
      </c>
      <c r="AJ54" s="31">
        <v>414</v>
      </c>
      <c r="AK54" s="86">
        <v>322</v>
      </c>
      <c r="AL54" s="31">
        <v>316</v>
      </c>
      <c r="AM54" s="3">
        <v>319</v>
      </c>
      <c r="AN54" s="27">
        <v>0</v>
      </c>
      <c r="AO54" s="191">
        <f t="shared" si="4"/>
        <v>0</v>
      </c>
    </row>
    <row r="55" spans="2:42" x14ac:dyDescent="0.2">
      <c r="B55" s="11">
        <v>3</v>
      </c>
      <c r="C55" s="12" t="s">
        <v>28</v>
      </c>
      <c r="D55" s="3">
        <v>80</v>
      </c>
      <c r="E55" s="31">
        <v>73</v>
      </c>
      <c r="F55" s="3">
        <v>57</v>
      </c>
      <c r="G55" s="3">
        <v>32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33"/>
      <c r="AB55" s="33"/>
      <c r="AC55" s="33"/>
      <c r="AD55" s="33"/>
      <c r="AE55" s="25"/>
      <c r="AF55" s="33"/>
      <c r="AG55" s="33"/>
      <c r="AH55" s="33"/>
      <c r="AI55" s="25"/>
      <c r="AJ55" s="33"/>
      <c r="AK55" s="25"/>
      <c r="AL55" s="33"/>
      <c r="AM55" s="4"/>
      <c r="AN55" s="28"/>
      <c r="AO55" s="191"/>
    </row>
    <row r="56" spans="2:42" x14ac:dyDescent="0.2">
      <c r="B56" s="11">
        <v>4</v>
      </c>
      <c r="C56" s="12" t="s">
        <v>46</v>
      </c>
      <c r="D56" s="3">
        <v>259</v>
      </c>
      <c r="E56" s="31">
        <f>59+84+1</f>
        <v>144</v>
      </c>
      <c r="F56" s="3">
        <f>60+24</f>
        <v>84</v>
      </c>
      <c r="G56" s="3">
        <v>61</v>
      </c>
      <c r="H56" s="3">
        <v>58</v>
      </c>
      <c r="I56" s="3">
        <f>1800+60+200</f>
        <v>2060</v>
      </c>
      <c r="J56" s="3">
        <v>43</v>
      </c>
      <c r="K56" s="3">
        <v>1841</v>
      </c>
      <c r="L56" s="3">
        <v>41</v>
      </c>
      <c r="M56" s="3">
        <f>1800+41</f>
        <v>1841</v>
      </c>
      <c r="N56" s="3">
        <v>41</v>
      </c>
      <c r="O56" s="3">
        <v>1841</v>
      </c>
      <c r="P56" s="3">
        <v>37</v>
      </c>
      <c r="Q56" s="3">
        <v>1829</v>
      </c>
      <c r="R56" s="3">
        <v>29</v>
      </c>
      <c r="S56" s="3">
        <v>1829</v>
      </c>
      <c r="T56" s="3">
        <v>24</v>
      </c>
      <c r="U56" s="3">
        <v>1825</v>
      </c>
      <c r="V56" s="3">
        <v>25</v>
      </c>
      <c r="W56" s="3">
        <v>25</v>
      </c>
      <c r="X56" s="3">
        <v>18</v>
      </c>
      <c r="Y56" s="3">
        <v>20.515000000000001</v>
      </c>
      <c r="Z56" s="3">
        <v>20</v>
      </c>
      <c r="AA56" s="31">
        <v>17.5</v>
      </c>
      <c r="AB56" s="31">
        <v>16</v>
      </c>
      <c r="AC56" s="31">
        <v>14.7</v>
      </c>
      <c r="AD56" s="31">
        <v>15</v>
      </c>
      <c r="AE56" s="86">
        <v>15</v>
      </c>
      <c r="AF56" s="31">
        <v>14</v>
      </c>
      <c r="AG56" s="31">
        <v>14.2</v>
      </c>
      <c r="AH56" s="31">
        <v>14</v>
      </c>
      <c r="AI56" s="86">
        <v>15</v>
      </c>
      <c r="AJ56" s="31">
        <v>14</v>
      </c>
      <c r="AK56" s="86">
        <v>15</v>
      </c>
      <c r="AL56" s="31">
        <v>15</v>
      </c>
      <c r="AM56" s="3">
        <v>14.6</v>
      </c>
      <c r="AN56" s="27">
        <v>14.6</v>
      </c>
      <c r="AO56" s="191">
        <f t="shared" si="4"/>
        <v>100</v>
      </c>
    </row>
    <row r="57" spans="2:42" ht="36" customHeight="1" x14ac:dyDescent="0.2">
      <c r="B57" s="15">
        <v>5</v>
      </c>
      <c r="C57" s="40" t="s">
        <v>75</v>
      </c>
      <c r="D57" s="1">
        <v>928</v>
      </c>
      <c r="E57" s="29">
        <f>317+707</f>
        <v>1024</v>
      </c>
      <c r="F57" s="1">
        <f>272+717</f>
        <v>989</v>
      </c>
      <c r="G57" s="1">
        <v>987</v>
      </c>
      <c r="H57" s="1">
        <v>1968</v>
      </c>
      <c r="I57" s="1">
        <f>1305+1114</f>
        <v>2419</v>
      </c>
      <c r="J57" s="1">
        <v>2015</v>
      </c>
      <c r="K57" s="1">
        <v>2418</v>
      </c>
      <c r="L57" s="1">
        <v>2228</v>
      </c>
      <c r="M57" s="1">
        <f>1900+1224+75</f>
        <v>3199</v>
      </c>
      <c r="N57" s="1">
        <v>2980</v>
      </c>
      <c r="O57" s="1">
        <v>3120</v>
      </c>
      <c r="P57" s="1">
        <v>2800</v>
      </c>
      <c r="Q57" s="1">
        <v>2397</v>
      </c>
      <c r="R57" s="1">
        <v>2089</v>
      </c>
      <c r="S57" s="1">
        <v>1847</v>
      </c>
      <c r="T57" s="1">
        <v>1841</v>
      </c>
      <c r="U57" s="1">
        <v>2155</v>
      </c>
      <c r="V57" s="1">
        <v>2087</v>
      </c>
      <c r="W57" s="1">
        <v>2712</v>
      </c>
      <c r="X57" s="1">
        <v>2128</v>
      </c>
      <c r="Y57" s="1">
        <v>3437.39</v>
      </c>
      <c r="Z57" s="1">
        <v>3427</v>
      </c>
      <c r="AA57" s="29">
        <v>3602.51</v>
      </c>
      <c r="AB57" s="29">
        <v>3648</v>
      </c>
      <c r="AC57" s="29">
        <v>3766.54</v>
      </c>
      <c r="AD57" s="29">
        <v>3801</v>
      </c>
      <c r="AE57" s="2">
        <f>3817-5</f>
        <v>3812</v>
      </c>
      <c r="AF57" s="29">
        <f>5335-438-760+810</f>
        <v>4947</v>
      </c>
      <c r="AG57" s="29">
        <v>4365.5</v>
      </c>
      <c r="AH57" s="29">
        <f>880+3778</f>
        <v>4658</v>
      </c>
      <c r="AI57" s="2">
        <f>5315-60</f>
        <v>5255</v>
      </c>
      <c r="AJ57" s="29">
        <f>4795-460-1075+1255</f>
        <v>4515</v>
      </c>
      <c r="AK57" s="29">
        <v>4826</v>
      </c>
      <c r="AL57" s="29">
        <f>5066-542-1064+1174</f>
        <v>4634</v>
      </c>
      <c r="AM57" s="1">
        <v>5189</v>
      </c>
      <c r="AN57" s="82">
        <v>5343.6900000000005</v>
      </c>
      <c r="AO57" s="195">
        <f t="shared" si="4"/>
        <v>102.98111389477742</v>
      </c>
      <c r="AP57" s="61" t="s">
        <v>124</v>
      </c>
    </row>
    <row r="58" spans="2:42" x14ac:dyDescent="0.2">
      <c r="B58" s="15">
        <v>6</v>
      </c>
      <c r="C58" s="40" t="s">
        <v>55</v>
      </c>
      <c r="D58" s="1"/>
      <c r="E58" s="29"/>
      <c r="F58" s="1"/>
      <c r="G58" s="1">
        <v>11249</v>
      </c>
      <c r="H58" s="1"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29"/>
      <c r="AB58" s="29"/>
      <c r="AC58" s="29"/>
      <c r="AD58" s="29"/>
      <c r="AE58" s="2"/>
      <c r="AF58" s="29"/>
      <c r="AG58" s="29"/>
      <c r="AH58" s="29"/>
      <c r="AI58" s="2"/>
      <c r="AJ58" s="29"/>
      <c r="AK58" s="2"/>
      <c r="AL58" s="29"/>
      <c r="AM58" s="1"/>
      <c r="AN58" s="82"/>
      <c r="AO58" s="195"/>
    </row>
    <row r="59" spans="2:42" ht="13.5" thickBot="1" x14ac:dyDescent="0.25">
      <c r="B59" s="41">
        <v>7</v>
      </c>
      <c r="C59" s="42" t="s">
        <v>60</v>
      </c>
      <c r="D59" s="152"/>
      <c r="E59" s="153"/>
      <c r="F59" s="152"/>
      <c r="G59" s="152"/>
      <c r="H59" s="152">
        <v>16053</v>
      </c>
      <c r="I59" s="152">
        <f>28400-1071</f>
        <v>27329</v>
      </c>
      <c r="J59" s="152">
        <v>26330</v>
      </c>
      <c r="K59" s="152">
        <v>30335</v>
      </c>
      <c r="L59" s="152">
        <v>26345</v>
      </c>
      <c r="M59" s="152">
        <f>30013+227</f>
        <v>30240</v>
      </c>
      <c r="N59" s="152">
        <v>27375</v>
      </c>
      <c r="O59" s="152">
        <v>30193</v>
      </c>
      <c r="P59" s="152">
        <v>30591</v>
      </c>
      <c r="Q59" s="152">
        <f>35400-200</f>
        <v>35200</v>
      </c>
      <c r="R59" s="152">
        <v>31765</v>
      </c>
      <c r="S59" s="152">
        <v>34940</v>
      </c>
      <c r="T59" s="152">
        <v>32309</v>
      </c>
      <c r="U59" s="152">
        <v>35250</v>
      </c>
      <c r="V59" s="152">
        <v>36327</v>
      </c>
      <c r="W59" s="152">
        <v>35300</v>
      </c>
      <c r="X59" s="152">
        <v>34845</v>
      </c>
      <c r="Y59" s="152">
        <v>36000</v>
      </c>
      <c r="Z59" s="152">
        <v>37229</v>
      </c>
      <c r="AA59" s="153">
        <v>36400</v>
      </c>
      <c r="AB59" s="153">
        <v>39028</v>
      </c>
      <c r="AC59" s="153">
        <v>39000</v>
      </c>
      <c r="AD59" s="153">
        <v>35730</v>
      </c>
      <c r="AE59" s="2">
        <v>40500</v>
      </c>
      <c r="AF59" s="153">
        <v>36687</v>
      </c>
      <c r="AG59" s="153">
        <v>37500</v>
      </c>
      <c r="AH59" s="153">
        <v>35353</v>
      </c>
      <c r="AI59" s="2">
        <v>39550</v>
      </c>
      <c r="AJ59" s="153">
        <v>42749</v>
      </c>
      <c r="AK59" s="2">
        <v>43600</v>
      </c>
      <c r="AL59" s="153">
        <v>44050</v>
      </c>
      <c r="AM59" s="152">
        <v>47000</v>
      </c>
      <c r="AN59" s="154">
        <v>55000</v>
      </c>
      <c r="AO59" s="196">
        <f t="shared" si="4"/>
        <v>117.02127659574468</v>
      </c>
    </row>
    <row r="60" spans="2:42" ht="13.5" thickBot="1" x14ac:dyDescent="0.25">
      <c r="B60" s="46"/>
      <c r="C60" s="47" t="s">
        <v>25</v>
      </c>
      <c r="D60" s="155">
        <f>SUM(D53:D59)</f>
        <v>3644</v>
      </c>
      <c r="E60" s="156">
        <f>SUM(E53:E59)</f>
        <v>2509</v>
      </c>
      <c r="F60" s="155">
        <f>SUM(F53:F59)</f>
        <v>4957</v>
      </c>
      <c r="G60" s="155">
        <f t="shared" ref="G60:AB60" si="13">SUM(G53:G59)</f>
        <v>24722</v>
      </c>
      <c r="H60" s="155">
        <f t="shared" si="13"/>
        <v>34414</v>
      </c>
      <c r="I60" s="155">
        <f t="shared" si="13"/>
        <v>49555</v>
      </c>
      <c r="J60" s="155">
        <f t="shared" si="13"/>
        <v>46301</v>
      </c>
      <c r="K60" s="155">
        <f t="shared" si="13"/>
        <v>41674</v>
      </c>
      <c r="L60" s="155">
        <f t="shared" si="13"/>
        <v>49248</v>
      </c>
      <c r="M60" s="155">
        <f t="shared" si="13"/>
        <v>44161</v>
      </c>
      <c r="N60" s="155">
        <f t="shared" si="13"/>
        <v>35377</v>
      </c>
      <c r="O60" s="155">
        <f t="shared" si="13"/>
        <v>40746</v>
      </c>
      <c r="P60" s="155">
        <f t="shared" si="13"/>
        <v>36581</v>
      </c>
      <c r="Q60" s="155">
        <f t="shared" si="13"/>
        <v>44472</v>
      </c>
      <c r="R60" s="155">
        <f t="shared" si="13"/>
        <v>36883</v>
      </c>
      <c r="S60" s="155">
        <f t="shared" si="13"/>
        <v>43739</v>
      </c>
      <c r="T60" s="155">
        <f t="shared" si="13"/>
        <v>38914</v>
      </c>
      <c r="U60" s="155">
        <f t="shared" ref="U60" si="14">SUM(U53:U59)</f>
        <v>50616</v>
      </c>
      <c r="V60" s="155">
        <f t="shared" si="13"/>
        <v>48162</v>
      </c>
      <c r="W60" s="155">
        <f t="shared" si="13"/>
        <v>42142</v>
      </c>
      <c r="X60" s="155">
        <f t="shared" si="13"/>
        <v>39619</v>
      </c>
      <c r="Y60" s="155">
        <f t="shared" si="13"/>
        <v>42208.904999999999</v>
      </c>
      <c r="Z60" s="155">
        <f t="shared" si="13"/>
        <v>42847</v>
      </c>
      <c r="AA60" s="155">
        <f t="shared" si="13"/>
        <v>43034.01</v>
      </c>
      <c r="AB60" s="155">
        <f t="shared" si="13"/>
        <v>44744</v>
      </c>
      <c r="AC60" s="155">
        <v>44992.24</v>
      </c>
      <c r="AD60" s="155">
        <f t="shared" ref="AD60:AN60" si="15">SUM(AD53:AD59)</f>
        <v>40940</v>
      </c>
      <c r="AE60" s="155">
        <f t="shared" si="15"/>
        <v>46264</v>
      </c>
      <c r="AF60" s="155">
        <f t="shared" si="15"/>
        <v>43230</v>
      </c>
      <c r="AG60" s="155">
        <f t="shared" si="15"/>
        <v>43171.7</v>
      </c>
      <c r="AH60" s="155">
        <f t="shared" si="15"/>
        <v>40947</v>
      </c>
      <c r="AI60" s="155">
        <f t="shared" si="15"/>
        <v>45273</v>
      </c>
      <c r="AJ60" s="155">
        <f t="shared" si="15"/>
        <v>47692</v>
      </c>
      <c r="AK60" s="155">
        <f t="shared" si="15"/>
        <v>48763</v>
      </c>
      <c r="AL60" s="156">
        <f t="shared" si="15"/>
        <v>49015</v>
      </c>
      <c r="AM60" s="155">
        <f t="shared" si="15"/>
        <v>52522.6</v>
      </c>
      <c r="AN60" s="157">
        <f t="shared" si="15"/>
        <v>60358.29</v>
      </c>
      <c r="AO60" s="190">
        <f t="shared" si="4"/>
        <v>114.91870166366478</v>
      </c>
    </row>
    <row r="61" spans="2:42" ht="32.25" thickBot="1" x14ac:dyDescent="0.25">
      <c r="B61" s="5"/>
      <c r="C61" s="6" t="s">
        <v>47</v>
      </c>
      <c r="D61" s="158">
        <f>SUM(D60,D51)</f>
        <v>3962</v>
      </c>
      <c r="E61" s="159">
        <f>SUM(E60,E51)</f>
        <v>3035</v>
      </c>
      <c r="F61" s="159">
        <f>SUM(F60,F51)</f>
        <v>5473</v>
      </c>
      <c r="G61" s="158">
        <f t="shared" ref="G61:AB61" si="16">SUM(G60,G51)</f>
        <v>25251</v>
      </c>
      <c r="H61" s="158">
        <f t="shared" si="16"/>
        <v>34940</v>
      </c>
      <c r="I61" s="158">
        <f t="shared" si="16"/>
        <v>50004</v>
      </c>
      <c r="J61" s="158">
        <f t="shared" si="16"/>
        <v>46692</v>
      </c>
      <c r="K61" s="158">
        <f t="shared" si="16"/>
        <v>42023</v>
      </c>
      <c r="L61" s="158">
        <f t="shared" si="16"/>
        <v>49463</v>
      </c>
      <c r="M61" s="158">
        <f t="shared" si="16"/>
        <v>44317</v>
      </c>
      <c r="N61" s="158">
        <f t="shared" si="16"/>
        <v>35499</v>
      </c>
      <c r="O61" s="158">
        <f t="shared" si="16"/>
        <v>40866</v>
      </c>
      <c r="P61" s="158">
        <f t="shared" si="16"/>
        <v>36647</v>
      </c>
      <c r="Q61" s="158">
        <f t="shared" si="16"/>
        <v>44569</v>
      </c>
      <c r="R61" s="158">
        <f t="shared" si="16"/>
        <v>36939</v>
      </c>
      <c r="S61" s="158">
        <f t="shared" si="16"/>
        <v>43871</v>
      </c>
      <c r="T61" s="158">
        <f t="shared" si="16"/>
        <v>39006</v>
      </c>
      <c r="U61" s="158">
        <f t="shared" ref="U61" si="17">SUM(U60,U51)</f>
        <v>50690</v>
      </c>
      <c r="V61" s="158">
        <f t="shared" si="16"/>
        <v>48222</v>
      </c>
      <c r="W61" s="158">
        <f t="shared" si="16"/>
        <v>42235</v>
      </c>
      <c r="X61" s="158">
        <f t="shared" si="16"/>
        <v>39686</v>
      </c>
      <c r="Y61" s="158">
        <f t="shared" si="16"/>
        <v>42304.504999999997</v>
      </c>
      <c r="Z61" s="158">
        <f t="shared" si="16"/>
        <v>42905</v>
      </c>
      <c r="AA61" s="158">
        <f t="shared" si="16"/>
        <v>43119.450000000004</v>
      </c>
      <c r="AB61" s="158">
        <f t="shared" si="16"/>
        <v>44786</v>
      </c>
      <c r="AC61" s="158">
        <v>45085.84</v>
      </c>
      <c r="AD61" s="158">
        <f t="shared" ref="AD61:AN61" si="18">SUM(AD60,AD51)</f>
        <v>40985</v>
      </c>
      <c r="AE61" s="158">
        <f t="shared" si="18"/>
        <v>46341</v>
      </c>
      <c r="AF61" s="158">
        <f t="shared" si="18"/>
        <v>43273.2</v>
      </c>
      <c r="AG61" s="158">
        <f t="shared" si="18"/>
        <v>43247.299999999996</v>
      </c>
      <c r="AH61" s="158">
        <f t="shared" si="18"/>
        <v>41002</v>
      </c>
      <c r="AI61" s="158">
        <f t="shared" si="18"/>
        <v>45348</v>
      </c>
      <c r="AJ61" s="158">
        <f t="shared" si="18"/>
        <v>47734</v>
      </c>
      <c r="AK61" s="158">
        <f t="shared" si="18"/>
        <v>48838</v>
      </c>
      <c r="AL61" s="200">
        <f t="shared" si="18"/>
        <v>49074</v>
      </c>
      <c r="AM61" s="158">
        <f t="shared" si="18"/>
        <v>52598</v>
      </c>
      <c r="AN61" s="160">
        <f t="shared" si="18"/>
        <v>60428.49</v>
      </c>
      <c r="AO61" s="197">
        <f t="shared" si="4"/>
        <v>114.88742917981671</v>
      </c>
    </row>
    <row r="62" spans="2:42" ht="13.5" thickBot="1" x14ac:dyDescent="0.25">
      <c r="B62" s="52"/>
      <c r="C62" s="53"/>
      <c r="D62" s="97"/>
      <c r="E62" s="96"/>
      <c r="F62" s="96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6"/>
      <c r="AM62" s="97"/>
      <c r="AN62" s="161"/>
      <c r="AO62" s="198"/>
    </row>
    <row r="63" spans="2:42" ht="20.25" customHeight="1" thickBot="1" x14ac:dyDescent="0.25">
      <c r="B63" s="100"/>
      <c r="C63" s="162" t="s">
        <v>29</v>
      </c>
      <c r="D63" s="163">
        <f>SUM(D61,D44)</f>
        <v>335899</v>
      </c>
      <c r="E63" s="164">
        <f>SUM(E61,E44)</f>
        <v>354541</v>
      </c>
      <c r="F63" s="164">
        <f>SUM(F61,F44)</f>
        <v>382501</v>
      </c>
      <c r="G63" s="163">
        <f t="shared" ref="G63:AB63" si="19">SUM(G61,G44)</f>
        <v>426594</v>
      </c>
      <c r="H63" s="163">
        <f t="shared" si="19"/>
        <v>453192</v>
      </c>
      <c r="I63" s="163">
        <f t="shared" si="19"/>
        <v>481255</v>
      </c>
      <c r="J63" s="163">
        <f t="shared" si="19"/>
        <v>471742</v>
      </c>
      <c r="K63" s="163">
        <f t="shared" si="19"/>
        <v>501950</v>
      </c>
      <c r="L63" s="163">
        <f t="shared" si="19"/>
        <v>523194</v>
      </c>
      <c r="M63" s="163">
        <f t="shared" si="19"/>
        <v>569789</v>
      </c>
      <c r="N63" s="163">
        <f t="shared" si="19"/>
        <v>554470</v>
      </c>
      <c r="O63" s="163">
        <f t="shared" si="19"/>
        <v>581440</v>
      </c>
      <c r="P63" s="163">
        <f t="shared" si="19"/>
        <v>581802</v>
      </c>
      <c r="Q63" s="163">
        <f t="shared" si="19"/>
        <v>616936</v>
      </c>
      <c r="R63" s="163">
        <f t="shared" si="19"/>
        <v>621981</v>
      </c>
      <c r="S63" s="163">
        <f t="shared" si="19"/>
        <v>652836</v>
      </c>
      <c r="T63" s="163">
        <f t="shared" si="19"/>
        <v>628108</v>
      </c>
      <c r="U63" s="163">
        <f t="shared" ref="U63" si="20">SUM(U61,U44)</f>
        <v>679634</v>
      </c>
      <c r="V63" s="163">
        <f t="shared" si="19"/>
        <v>661517</v>
      </c>
      <c r="W63" s="163">
        <f t="shared" si="19"/>
        <v>690799</v>
      </c>
      <c r="X63" s="163">
        <f t="shared" si="19"/>
        <v>665085</v>
      </c>
      <c r="Y63" s="163">
        <f t="shared" si="19"/>
        <v>683615.27299999993</v>
      </c>
      <c r="Z63" s="163">
        <f t="shared" si="19"/>
        <v>682947</v>
      </c>
      <c r="AA63" s="163">
        <f t="shared" si="19"/>
        <v>703739.52599999995</v>
      </c>
      <c r="AB63" s="163">
        <f t="shared" si="19"/>
        <v>699770</v>
      </c>
      <c r="AC63" s="163">
        <v>712909.255</v>
      </c>
      <c r="AD63" s="163">
        <f t="shared" ref="AD63:AN63" si="21">SUM(AD61,AD44)</f>
        <v>703435</v>
      </c>
      <c r="AE63" s="163">
        <f t="shared" si="21"/>
        <v>707758</v>
      </c>
      <c r="AF63" s="163">
        <f t="shared" si="21"/>
        <v>710324.2</v>
      </c>
      <c r="AG63" s="163">
        <f t="shared" si="21"/>
        <v>724524.23900000006</v>
      </c>
      <c r="AH63" s="163">
        <f t="shared" si="21"/>
        <v>730028</v>
      </c>
      <c r="AI63" s="163">
        <f t="shared" si="21"/>
        <v>755923</v>
      </c>
      <c r="AJ63" s="163">
        <f t="shared" si="21"/>
        <v>770907.4</v>
      </c>
      <c r="AK63" s="163">
        <f t="shared" si="21"/>
        <v>825015</v>
      </c>
      <c r="AL63" s="164">
        <f t="shared" si="21"/>
        <v>816644.9</v>
      </c>
      <c r="AM63" s="199">
        <f t="shared" si="21"/>
        <v>923752.25</v>
      </c>
      <c r="AN63" s="165">
        <f t="shared" si="21"/>
        <v>992181.30999999994</v>
      </c>
      <c r="AO63" s="192">
        <f t="shared" si="4"/>
        <v>107.40772864152699</v>
      </c>
    </row>
    <row r="64" spans="2:42" ht="13.5" thickTop="1" x14ac:dyDescent="0.2">
      <c r="C64" s="17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66"/>
    </row>
    <row r="65" spans="3:40" x14ac:dyDescent="0.2">
      <c r="C65" s="103" t="s">
        <v>30</v>
      </c>
      <c r="D65" s="104"/>
      <c r="E65" s="167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</row>
    <row r="66" spans="3:40" x14ac:dyDescent="0.2">
      <c r="C66" s="103" t="s">
        <v>63</v>
      </c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67">
        <f>679634-U63</f>
        <v>0</v>
      </c>
      <c r="V66" s="104"/>
      <c r="W66" s="104"/>
      <c r="X66" s="104"/>
      <c r="Y66" s="104"/>
      <c r="Z66" s="104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</row>
    <row r="67" spans="3:40" x14ac:dyDescent="0.2">
      <c r="C67" s="103" t="s">
        <v>41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</row>
    <row r="68" spans="3:40" x14ac:dyDescent="0.2">
      <c r="C68" s="103" t="s">
        <v>64</v>
      </c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</row>
    <row r="69" spans="3:40" x14ac:dyDescent="0.2">
      <c r="C69" s="103" t="s">
        <v>65</v>
      </c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67"/>
    </row>
    <row r="70" spans="3:40" x14ac:dyDescent="0.2">
      <c r="C70" s="103" t="s">
        <v>56</v>
      </c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</row>
    <row r="71" spans="3:40" x14ac:dyDescent="0.2">
      <c r="C71" s="103" t="s">
        <v>71</v>
      </c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</row>
    <row r="72" spans="3:40" x14ac:dyDescent="0.2">
      <c r="C72" s="103" t="s">
        <v>76</v>
      </c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67">
        <f>Q81-1166181</f>
        <v>-14079</v>
      </c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</row>
    <row r="73" spans="3:40" x14ac:dyDescent="0.2">
      <c r="C73" s="103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67"/>
      <c r="AK73" s="167"/>
      <c r="AL73" s="167"/>
      <c r="AM73" s="104"/>
      <c r="AN73" s="104"/>
    </row>
    <row r="74" spans="3:40" x14ac:dyDescent="0.2">
      <c r="C74" s="105" t="s">
        <v>31</v>
      </c>
      <c r="D74" s="168"/>
      <c r="E74" s="168"/>
      <c r="F74" s="168"/>
      <c r="G74" s="168"/>
      <c r="H74" s="168"/>
      <c r="I74" s="106"/>
      <c r="J74" s="168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235"/>
      <c r="AM74" s="235"/>
      <c r="AN74" s="235"/>
    </row>
    <row r="75" spans="3:40" x14ac:dyDescent="0.2">
      <c r="C75" s="169" t="s">
        <v>66</v>
      </c>
      <c r="D75" s="170">
        <v>2189.1999999999998</v>
      </c>
      <c r="E75" s="171">
        <v>2352.1999999999998</v>
      </c>
      <c r="F75" s="170">
        <v>2464.4</v>
      </c>
      <c r="G75" s="172">
        <v>2577.1</v>
      </c>
      <c r="H75" s="170">
        <v>2814.8</v>
      </c>
      <c r="I75" s="173">
        <f>2884+36+3-16</f>
        <v>2907</v>
      </c>
      <c r="J75" s="170">
        <f>2978.2-8.2+14</f>
        <v>2984</v>
      </c>
      <c r="K75" s="173">
        <v>3202</v>
      </c>
      <c r="L75" s="173">
        <v>3353</v>
      </c>
      <c r="M75" s="173">
        <v>3516</v>
      </c>
      <c r="N75" s="173">
        <v>3663</v>
      </c>
      <c r="O75" s="173">
        <v>3827</v>
      </c>
      <c r="P75" s="173">
        <v>3848</v>
      </c>
      <c r="Q75" s="173">
        <v>3634</v>
      </c>
      <c r="R75" s="173">
        <v>3759</v>
      </c>
      <c r="S75" s="173">
        <v>3678</v>
      </c>
      <c r="T75" s="173">
        <f>3791+163</f>
        <v>3954</v>
      </c>
      <c r="U75" s="173">
        <v>3729</v>
      </c>
      <c r="V75" s="173">
        <f>4022+1</f>
        <v>4023</v>
      </c>
      <c r="W75" s="173">
        <v>3729</v>
      </c>
      <c r="X75" s="173">
        <f>4042+18</f>
        <v>4060</v>
      </c>
      <c r="Y75" s="173">
        <v>3796</v>
      </c>
      <c r="Z75" s="173">
        <f>4077+21</f>
        <v>4098</v>
      </c>
      <c r="AA75" s="173">
        <v>3974</v>
      </c>
      <c r="AB75" s="173">
        <v>4346</v>
      </c>
      <c r="AC75" s="173">
        <v>4467</v>
      </c>
      <c r="AD75" s="173">
        <v>4625</v>
      </c>
      <c r="AE75" s="173">
        <v>4647</v>
      </c>
      <c r="AF75" s="174">
        <v>4797</v>
      </c>
      <c r="AG75" s="174">
        <v>5040</v>
      </c>
      <c r="AH75" s="174">
        <v>5111</v>
      </c>
      <c r="AI75" s="174">
        <v>5300</v>
      </c>
      <c r="AJ75" s="174">
        <v>5409</v>
      </c>
      <c r="AK75" s="174">
        <v>5589</v>
      </c>
      <c r="AL75" s="175">
        <v>5749</v>
      </c>
      <c r="AM75" s="175">
        <v>5561</v>
      </c>
      <c r="AN75" s="175">
        <v>5860</v>
      </c>
    </row>
    <row r="76" spans="3:40" x14ac:dyDescent="0.2">
      <c r="C76" s="40" t="s">
        <v>48</v>
      </c>
      <c r="D76" s="10">
        <f>D7/(D$75*1000)*100</f>
        <v>12.211401425178147</v>
      </c>
      <c r="E76" s="48">
        <f>E7/(E$75*1000)*100</f>
        <v>12.120100331604455</v>
      </c>
      <c r="F76" s="49">
        <f>F7/(F$75*1000)*100</f>
        <v>12.385651679922091</v>
      </c>
      <c r="G76" s="10">
        <f t="shared" ref="G76:AB76" si="22">G7/(G$75*1000)*100</f>
        <v>12.500097008265104</v>
      </c>
      <c r="H76" s="10">
        <f t="shared" si="22"/>
        <v>11.756927668040358</v>
      </c>
      <c r="I76" s="10">
        <f t="shared" si="22"/>
        <v>11.767595459236325</v>
      </c>
      <c r="J76" s="10">
        <f t="shared" si="22"/>
        <v>11.511461126005361</v>
      </c>
      <c r="K76" s="10">
        <f t="shared" si="22"/>
        <v>11.324109931292941</v>
      </c>
      <c r="L76" s="10">
        <f t="shared" si="22"/>
        <v>11.122994333432747</v>
      </c>
      <c r="M76" s="10">
        <f t="shared" si="22"/>
        <v>11.842007963594995</v>
      </c>
      <c r="N76" s="10">
        <f t="shared" si="22"/>
        <v>11.281545181545182</v>
      </c>
      <c r="O76" s="10">
        <f t="shared" si="22"/>
        <v>11.025868826757252</v>
      </c>
      <c r="P76" s="10">
        <f t="shared" si="22"/>
        <v>11.154287941787942</v>
      </c>
      <c r="Q76" s="10">
        <f t="shared" si="22"/>
        <v>12.362685745734728</v>
      </c>
      <c r="R76" s="10">
        <f t="shared" si="22"/>
        <v>12.206491088055333</v>
      </c>
      <c r="S76" s="10">
        <f t="shared" si="22"/>
        <v>12.594344752582925</v>
      </c>
      <c r="T76" s="10">
        <f t="shared" si="22"/>
        <v>11.669853313100658</v>
      </c>
      <c r="U76" s="10">
        <f t="shared" ref="U76" si="23">U7/(U$75*1000)*100</f>
        <v>12.769106999195495</v>
      </c>
      <c r="V76" s="10">
        <f t="shared" si="22"/>
        <v>11.791672880934625</v>
      </c>
      <c r="W76" s="10">
        <f t="shared" si="22"/>
        <v>13.323974255832663</v>
      </c>
      <c r="X76" s="10">
        <f t="shared" si="22"/>
        <v>11.971773399014779</v>
      </c>
      <c r="Y76" s="10">
        <f t="shared" si="22"/>
        <v>13.279399367755532</v>
      </c>
      <c r="Z76" s="10">
        <f t="shared" si="22"/>
        <v>12.082772083943388</v>
      </c>
      <c r="AA76" s="10">
        <f t="shared" si="22"/>
        <v>12.908451937594364</v>
      </c>
      <c r="AB76" s="10">
        <f t="shared" si="22"/>
        <v>11.553635526921308</v>
      </c>
      <c r="AC76" s="10">
        <v>11.617404119095591</v>
      </c>
      <c r="AD76" s="10">
        <f t="shared" ref="AD76:AN76" si="24">AD7/(AD$75*1000)*100</f>
        <v>11.085037837837838</v>
      </c>
      <c r="AE76" s="10">
        <f t="shared" si="24"/>
        <v>11.253604476006025</v>
      </c>
      <c r="AF76" s="10">
        <f t="shared" si="24"/>
        <v>10.840671252866375</v>
      </c>
      <c r="AG76" s="10">
        <f t="shared" si="24"/>
        <v>10.766290615079367</v>
      </c>
      <c r="AH76" s="10">
        <f t="shared" si="24"/>
        <v>10.515574251614165</v>
      </c>
      <c r="AI76" s="10">
        <f t="shared" si="24"/>
        <v>10.771415094339623</v>
      </c>
      <c r="AJ76" s="10">
        <f t="shared" si="24"/>
        <v>10.452530966907007</v>
      </c>
      <c r="AK76" s="10">
        <f t="shared" si="24"/>
        <v>10.943120415101092</v>
      </c>
      <c r="AL76" s="10">
        <f t="shared" si="24"/>
        <v>10.636649852148199</v>
      </c>
      <c r="AM76" s="10">
        <f t="shared" si="24"/>
        <v>12.083275939579211</v>
      </c>
      <c r="AN76" s="10">
        <f t="shared" si="24"/>
        <v>12.048358037542661</v>
      </c>
    </row>
    <row r="77" spans="3:40" x14ac:dyDescent="0.2">
      <c r="C77" s="18" t="s">
        <v>32</v>
      </c>
      <c r="D77" s="8">
        <f>D44/(D$75*1000)*100</f>
        <v>15.162479444545953</v>
      </c>
      <c r="E77" s="7">
        <f>E44/(E$75*1000)*100</f>
        <v>14.94371226936485</v>
      </c>
      <c r="F77" s="23">
        <f>F44/(F$75*1000)*100</f>
        <v>15.29897743872748</v>
      </c>
      <c r="G77" s="8">
        <f t="shared" ref="G77:AB77" si="25">G44/(G$75*1000)*100</f>
        <v>15.573435256683871</v>
      </c>
      <c r="H77" s="8">
        <f t="shared" si="25"/>
        <v>14.859030837004406</v>
      </c>
      <c r="I77" s="8">
        <f t="shared" si="25"/>
        <v>14.834915720674235</v>
      </c>
      <c r="J77" s="8">
        <f t="shared" si="25"/>
        <v>14.244302949061662</v>
      </c>
      <c r="K77" s="8">
        <f t="shared" si="25"/>
        <v>14.36374141161774</v>
      </c>
      <c r="L77" s="8">
        <f t="shared" si="25"/>
        <v>14.12857142857143</v>
      </c>
      <c r="M77" s="8">
        <f t="shared" si="25"/>
        <v>14.945164960182025</v>
      </c>
      <c r="N77" s="8">
        <f t="shared" si="25"/>
        <v>14.167922467922466</v>
      </c>
      <c r="O77" s="8">
        <f t="shared" si="25"/>
        <v>14.125267833812385</v>
      </c>
      <c r="P77" s="8">
        <f t="shared" si="25"/>
        <v>14.16722972972973</v>
      </c>
      <c r="Q77" s="8">
        <f t="shared" si="25"/>
        <v>15.750330214639515</v>
      </c>
      <c r="R77" s="8">
        <f t="shared" si="25"/>
        <v>15.563766959297688</v>
      </c>
      <c r="S77" s="8">
        <f t="shared" si="25"/>
        <v>16.556960304513321</v>
      </c>
      <c r="T77" s="8">
        <f t="shared" si="25"/>
        <v>14.898887202832576</v>
      </c>
      <c r="U77" s="8">
        <f t="shared" ref="U77" si="26">U44/(U$75*1000)*100</f>
        <v>16.866291230893001</v>
      </c>
      <c r="V77" s="8">
        <f t="shared" si="25"/>
        <v>15.24471787223465</v>
      </c>
      <c r="W77" s="8">
        <f t="shared" si="25"/>
        <v>17.39243765084473</v>
      </c>
      <c r="X77" s="8">
        <f t="shared" si="25"/>
        <v>15.403916256157634</v>
      </c>
      <c r="Y77" s="8">
        <f t="shared" si="25"/>
        <v>16.894382718651212</v>
      </c>
      <c r="Z77" s="8">
        <f t="shared" si="25"/>
        <v>15.618399219131284</v>
      </c>
      <c r="AA77" s="8">
        <f t="shared" si="25"/>
        <v>16.623555007549069</v>
      </c>
      <c r="AB77" s="8">
        <f t="shared" si="25"/>
        <v>15.070961803957662</v>
      </c>
      <c r="AC77" s="8">
        <v>14.950154801880458</v>
      </c>
      <c r="AD77" s="8">
        <f t="shared" ref="AD77:AN77" si="27">AD44/(AD$75*1000)*100</f>
        <v>14.323243243243244</v>
      </c>
      <c r="AE77" s="8">
        <f t="shared" si="27"/>
        <v>14.233204217774908</v>
      </c>
      <c r="AF77" s="8">
        <f t="shared" si="27"/>
        <v>13.90558682509902</v>
      </c>
      <c r="AG77" s="8">
        <f t="shared" si="27"/>
        <v>13.517399583333333</v>
      </c>
      <c r="AH77" s="8">
        <f t="shared" si="27"/>
        <v>13.481236548620624</v>
      </c>
      <c r="AI77" s="8">
        <f t="shared" si="27"/>
        <v>13.407075471698112</v>
      </c>
      <c r="AJ77" s="8">
        <f t="shared" si="27"/>
        <v>13.36981697171381</v>
      </c>
      <c r="AK77" s="8">
        <f t="shared" si="27"/>
        <v>13.887582751833961</v>
      </c>
      <c r="AL77" s="8">
        <f t="shared" si="27"/>
        <v>13.35138110975822</v>
      </c>
      <c r="AM77" s="8">
        <f t="shared" si="27"/>
        <v>15.665424384103579</v>
      </c>
      <c r="AN77" s="8">
        <f t="shared" si="27"/>
        <v>15.900218771331057</v>
      </c>
    </row>
    <row r="78" spans="3:40" x14ac:dyDescent="0.2">
      <c r="C78" s="18" t="s">
        <v>33</v>
      </c>
      <c r="D78" s="8">
        <f>D61/(D$75*1000)*100</f>
        <v>0.18097935318837932</v>
      </c>
      <c r="E78" s="7">
        <f>E61/(E$75*1000)*100</f>
        <v>0.12902814386531758</v>
      </c>
      <c r="F78" s="23">
        <f>F61/(F$75*1000)*100</f>
        <v>0.22208245414705405</v>
      </c>
      <c r="G78" s="8">
        <f t="shared" ref="G78:M78" si="28">G61/(G$75*1000)*100</f>
        <v>0.97982228085832912</v>
      </c>
      <c r="H78" s="8">
        <f t="shared" si="28"/>
        <v>1.2412960068210885</v>
      </c>
      <c r="I78" s="8">
        <f>I61/(I$75*1000)*100</f>
        <v>1.7201238390092879</v>
      </c>
      <c r="J78" s="8">
        <f t="shared" si="28"/>
        <v>1.5647453083109921</v>
      </c>
      <c r="K78" s="8">
        <f>K61/(K$75*1000)*100</f>
        <v>1.3123985009369143</v>
      </c>
      <c r="L78" s="8">
        <f t="shared" si="28"/>
        <v>1.4751864002385924</v>
      </c>
      <c r="M78" s="8">
        <f t="shared" si="28"/>
        <v>1.2604379977246871</v>
      </c>
      <c r="N78" s="8">
        <f t="shared" ref="N78:S78" si="29">N61/(N$75*1000)*100</f>
        <v>0.96912366912366921</v>
      </c>
      <c r="O78" s="8">
        <f t="shared" si="29"/>
        <v>1.0678338123856808</v>
      </c>
      <c r="P78" s="8">
        <f t="shared" si="29"/>
        <v>0.95236486486486482</v>
      </c>
      <c r="Q78" s="8">
        <f t="shared" si="29"/>
        <v>1.2264446890478811</v>
      </c>
      <c r="R78" s="8">
        <f t="shared" si="29"/>
        <v>0.98268156424580999</v>
      </c>
      <c r="S78" s="8">
        <f t="shared" si="29"/>
        <v>1.1927949972811311</v>
      </c>
      <c r="T78" s="8">
        <f t="shared" ref="T78:AB78" si="30">T61/(T$75*1000)*100</f>
        <v>0.98649468892261005</v>
      </c>
      <c r="U78" s="8">
        <f t="shared" si="30"/>
        <v>1.3593456690801824</v>
      </c>
      <c r="V78" s="8">
        <f t="shared" si="30"/>
        <v>1.1986577181208053</v>
      </c>
      <c r="W78" s="8">
        <f t="shared" si="30"/>
        <v>1.1326092786269777</v>
      </c>
      <c r="X78" s="8">
        <f t="shared" si="30"/>
        <v>0.977487684729064</v>
      </c>
      <c r="Y78" s="8">
        <f t="shared" si="30"/>
        <v>1.1144495521601685</v>
      </c>
      <c r="Z78" s="8">
        <f t="shared" si="30"/>
        <v>1.0469741337237677</v>
      </c>
      <c r="AA78" s="8">
        <f t="shared" si="30"/>
        <v>1.0850390035228989</v>
      </c>
      <c r="AB78" s="8">
        <f t="shared" si="30"/>
        <v>1.0305108145421076</v>
      </c>
      <c r="AC78" s="8">
        <v>1.0093091560331318</v>
      </c>
      <c r="AD78" s="8">
        <f>AD61/(AD$75*1000)*100</f>
        <v>0.88616216216216226</v>
      </c>
      <c r="AE78" s="8">
        <f>AE61/(AE$75*1000)*100</f>
        <v>0.99722401549386697</v>
      </c>
      <c r="AF78" s="8">
        <f>AF61/(AF$75*1000)*100</f>
        <v>0.90208880550343962</v>
      </c>
      <c r="AG78" s="8">
        <f>AG61/(AG$75*1000)*100</f>
        <v>0.85808134920634915</v>
      </c>
      <c r="AH78" s="8">
        <f>AH61/(AH$75*1000)*100</f>
        <v>0.80223048327137547</v>
      </c>
      <c r="AI78" s="8">
        <f t="shared" ref="AI78:AL78" si="31">AI61/(AI$75*1000)*100</f>
        <v>0.8556226415094339</v>
      </c>
      <c r="AJ78" s="8">
        <f t="shared" si="31"/>
        <v>0.8824921427250878</v>
      </c>
      <c r="AK78" s="8">
        <f t="shared" si="31"/>
        <v>0.87382358203614252</v>
      </c>
      <c r="AL78" s="8">
        <f t="shared" si="31"/>
        <v>0.85360932336058448</v>
      </c>
      <c r="AM78" s="8">
        <f>AM61/(AM$75*1000)*100</f>
        <v>0.94583707966193131</v>
      </c>
      <c r="AN78" s="8">
        <f>AN61/(AN$75*1000)*100</f>
        <v>1.0312029010238908</v>
      </c>
    </row>
    <row r="79" spans="3:40" x14ac:dyDescent="0.2">
      <c r="C79" s="18" t="s">
        <v>34</v>
      </c>
      <c r="D79" s="8">
        <f>D63/(D$75*1000)*100</f>
        <v>15.343458797734332</v>
      </c>
      <c r="E79" s="7">
        <f>E63/(E$75*1000)*100</f>
        <v>15.072740413230168</v>
      </c>
      <c r="F79" s="23">
        <f>F63/(F$75*1000)*100</f>
        <v>15.521059892874533</v>
      </c>
      <c r="G79" s="8">
        <f t="shared" ref="G79:M79" si="32">G63/(G$75*1000)*100</f>
        <v>16.553257537542198</v>
      </c>
      <c r="H79" s="8">
        <f t="shared" si="32"/>
        <v>16.100326843825492</v>
      </c>
      <c r="I79" s="8">
        <f>I63/(I$75*1000)*100</f>
        <v>16.555039559683525</v>
      </c>
      <c r="J79" s="8">
        <f t="shared" si="32"/>
        <v>15.809048257372654</v>
      </c>
      <c r="K79" s="8">
        <f>K63/(K$75*1000)*100</f>
        <v>15.676139912554653</v>
      </c>
      <c r="L79" s="8">
        <f t="shared" si="32"/>
        <v>15.603757828810021</v>
      </c>
      <c r="M79" s="8">
        <f t="shared" si="32"/>
        <v>16.205602957906713</v>
      </c>
      <c r="N79" s="8">
        <f t="shared" ref="N79:S79" si="33">N63/(N$75*1000)*100</f>
        <v>15.137046137046136</v>
      </c>
      <c r="O79" s="8">
        <f t="shared" si="33"/>
        <v>15.193101646198064</v>
      </c>
      <c r="P79" s="8">
        <f t="shared" si="33"/>
        <v>15.119594594594595</v>
      </c>
      <c r="Q79" s="8">
        <f t="shared" si="33"/>
        <v>16.976774903687396</v>
      </c>
      <c r="R79" s="8">
        <f t="shared" si="33"/>
        <v>16.546448523543493</v>
      </c>
      <c r="S79" s="8">
        <f t="shared" si="33"/>
        <v>17.749755301794455</v>
      </c>
      <c r="T79" s="8">
        <f t="shared" ref="T79:AB79" si="34">T63/(T$75*1000)*100</f>
        <v>15.885381891755184</v>
      </c>
      <c r="U79" s="8">
        <f t="shared" si="34"/>
        <v>18.225636899973182</v>
      </c>
      <c r="V79" s="8">
        <f t="shared" si="34"/>
        <v>16.443375590355455</v>
      </c>
      <c r="W79" s="8">
        <f t="shared" si="34"/>
        <v>18.52504692947171</v>
      </c>
      <c r="X79" s="8">
        <f t="shared" si="34"/>
        <v>16.381403940886699</v>
      </c>
      <c r="Y79" s="8">
        <f t="shared" si="34"/>
        <v>18.008832270811379</v>
      </c>
      <c r="Z79" s="8">
        <f t="shared" si="34"/>
        <v>16.665373352855049</v>
      </c>
      <c r="AA79" s="8">
        <f t="shared" si="34"/>
        <v>17.708594011071966</v>
      </c>
      <c r="AB79" s="8">
        <f t="shared" si="34"/>
        <v>16.10147261849977</v>
      </c>
      <c r="AC79" s="8">
        <v>15.959463957913588</v>
      </c>
      <c r="AD79" s="8">
        <f t="shared" ref="AD79:AJ79" si="35">AD63/(AD$75*1000)*100</f>
        <v>15.209405405405404</v>
      </c>
      <c r="AE79" s="8">
        <f t="shared" si="35"/>
        <v>15.230428233268775</v>
      </c>
      <c r="AF79" s="8">
        <f t="shared" si="35"/>
        <v>14.807675630602461</v>
      </c>
      <c r="AG79" s="8">
        <f t="shared" si="35"/>
        <v>14.375480932539682</v>
      </c>
      <c r="AH79" s="8">
        <f t="shared" si="35"/>
        <v>14.283467031891997</v>
      </c>
      <c r="AI79" s="8">
        <f t="shared" si="35"/>
        <v>14.262698113207547</v>
      </c>
      <c r="AJ79" s="8">
        <f t="shared" si="35"/>
        <v>14.2523091144389</v>
      </c>
      <c r="AK79" s="8">
        <f t="shared" ref="AK79:AL79" si="36">AK63/(AK$75*1000)*100</f>
        <v>14.761406333870102</v>
      </c>
      <c r="AL79" s="8">
        <f t="shared" si="36"/>
        <v>14.204990433118802</v>
      </c>
      <c r="AM79" s="8">
        <f>AM63/(AM$75*1000)*100</f>
        <v>16.611261463765508</v>
      </c>
      <c r="AN79" s="8">
        <f>AN63/(AN$75*1000)*100</f>
        <v>16.931421672354947</v>
      </c>
    </row>
    <row r="80" spans="3:40" x14ac:dyDescent="0.2">
      <c r="C80" s="18"/>
      <c r="D80" s="108"/>
      <c r="E80" s="176"/>
      <c r="F80" s="177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</row>
    <row r="81" spans="3:40" x14ac:dyDescent="0.2">
      <c r="C81" s="19" t="s">
        <v>52</v>
      </c>
      <c r="D81" s="178">
        <v>632268</v>
      </c>
      <c r="E81" s="179">
        <f>693920-31327*0</f>
        <v>693920</v>
      </c>
      <c r="F81" s="174">
        <f>750682</f>
        <v>750682</v>
      </c>
      <c r="G81" s="178">
        <f>808718-20397*0</f>
        <v>808718</v>
      </c>
      <c r="H81" s="178">
        <f>862892-2363*0</f>
        <v>862892</v>
      </c>
      <c r="I81" s="178">
        <v>908416</v>
      </c>
      <c r="J81" s="178">
        <f>922798-2467*0</f>
        <v>922798</v>
      </c>
      <c r="K81" s="178">
        <v>958792</v>
      </c>
      <c r="L81" s="178">
        <v>1020640</v>
      </c>
      <c r="M81" s="178">
        <v>1040777</v>
      </c>
      <c r="N81" s="178">
        <v>1092275</v>
      </c>
      <c r="O81" s="178">
        <v>1107311</v>
      </c>
      <c r="P81" s="178">
        <v>1083944</v>
      </c>
      <c r="Q81" s="178">
        <v>1152102</v>
      </c>
      <c r="R81" s="178">
        <v>1167009</v>
      </c>
      <c r="S81" s="178">
        <v>1184919</v>
      </c>
      <c r="T81" s="178">
        <v>1156793</v>
      </c>
      <c r="U81" s="178">
        <v>1190701</v>
      </c>
      <c r="V81" s="178">
        <v>1155526</v>
      </c>
      <c r="W81" s="178">
        <v>1189701</v>
      </c>
      <c r="X81" s="178">
        <v>1152387</v>
      </c>
      <c r="Y81" s="178">
        <v>1176368</v>
      </c>
      <c r="Z81" s="178">
        <v>1173128</v>
      </c>
      <c r="AA81" s="178">
        <v>1210237</v>
      </c>
      <c r="AB81" s="178">
        <v>1211608</v>
      </c>
      <c r="AC81" s="178">
        <v>1218455</v>
      </c>
      <c r="AD81" s="178">
        <v>1297322</v>
      </c>
      <c r="AE81" s="178">
        <v>1250857</v>
      </c>
      <c r="AF81" s="178">
        <v>1219844</v>
      </c>
      <c r="AG81" s="178">
        <v>1309272</v>
      </c>
      <c r="AH81" s="178">
        <v>1279796</v>
      </c>
      <c r="AI81" s="178">
        <v>1364498</v>
      </c>
      <c r="AJ81" s="178">
        <v>1400974</v>
      </c>
      <c r="AK81" s="178">
        <v>1505359</v>
      </c>
      <c r="AL81" s="178">
        <v>1551738</v>
      </c>
      <c r="AM81" s="178">
        <v>1864818.7237529999</v>
      </c>
      <c r="AN81" s="178">
        <v>1808336</v>
      </c>
    </row>
    <row r="82" spans="3:40" x14ac:dyDescent="0.2">
      <c r="C82" s="40" t="s">
        <v>49</v>
      </c>
      <c r="D82" s="8">
        <f>D7/D$81*100</f>
        <v>42.281437618225183</v>
      </c>
      <c r="E82" s="7">
        <f>E7/E$81*100</f>
        <v>41.083842517869499</v>
      </c>
      <c r="F82" s="23">
        <f>F7/F$81*100</f>
        <v>40.660625937480852</v>
      </c>
      <c r="G82" s="8">
        <f t="shared" ref="G82:AB82" si="37">G7/G$81*100</f>
        <v>39.833415356156287</v>
      </c>
      <c r="H82" s="8">
        <f t="shared" si="37"/>
        <v>38.351728837444313</v>
      </c>
      <c r="I82" s="8">
        <f t="shared" si="37"/>
        <v>37.657196702832188</v>
      </c>
      <c r="J82" s="8">
        <f t="shared" si="37"/>
        <v>37.223964507942149</v>
      </c>
      <c r="K82" s="8">
        <f t="shared" si="37"/>
        <v>37.81821291792172</v>
      </c>
      <c r="L82" s="8">
        <f t="shared" si="37"/>
        <v>36.541189841667972</v>
      </c>
      <c r="M82" s="8">
        <f t="shared" si="37"/>
        <v>40.005207647747788</v>
      </c>
      <c r="N82" s="8">
        <f t="shared" si="37"/>
        <v>37.833237966629284</v>
      </c>
      <c r="O82" s="8">
        <f t="shared" si="37"/>
        <v>38.106728823248389</v>
      </c>
      <c r="P82" s="8">
        <f t="shared" si="37"/>
        <v>39.59770984478903</v>
      </c>
      <c r="Q82" s="8">
        <f t="shared" si="37"/>
        <v>38.994811223311828</v>
      </c>
      <c r="R82" s="8">
        <f t="shared" si="37"/>
        <v>39.317777326481632</v>
      </c>
      <c r="S82" s="8">
        <f t="shared" si="37"/>
        <v>39.092967536177582</v>
      </c>
      <c r="T82" s="8">
        <f t="shared" si="37"/>
        <v>39.888381067312821</v>
      </c>
      <c r="U82" s="8">
        <f t="shared" ref="U82" si="38">U7/U$81*100</f>
        <v>39.989888309491633</v>
      </c>
      <c r="V82" s="8">
        <f t="shared" si="37"/>
        <v>41.053078857593853</v>
      </c>
      <c r="W82" s="8">
        <f t="shared" si="37"/>
        <v>41.762678185527285</v>
      </c>
      <c r="X82" s="8">
        <f t="shared" si="37"/>
        <v>42.178018321969965</v>
      </c>
      <c r="Y82" s="8">
        <f t="shared" si="37"/>
        <v>42.851046611264501</v>
      </c>
      <c r="Z82" s="8">
        <f t="shared" si="37"/>
        <v>42.20784091761513</v>
      </c>
      <c r="AA82" s="8">
        <f t="shared" si="37"/>
        <v>42.3868944677778</v>
      </c>
      <c r="AB82" s="8">
        <f t="shared" si="37"/>
        <v>41.442529266891604</v>
      </c>
      <c r="AC82" s="8">
        <v>42.590773706090971</v>
      </c>
      <c r="AD82" s="8">
        <f t="shared" ref="AD82:AN82" si="39">AD7/AD$81*100</f>
        <v>39.518562084046984</v>
      </c>
      <c r="AE82" s="8">
        <f t="shared" si="39"/>
        <v>41.807736615776228</v>
      </c>
      <c r="AF82" s="8">
        <f t="shared" si="39"/>
        <v>42.63061506225386</v>
      </c>
      <c r="AG82" s="8">
        <f t="shared" si="39"/>
        <v>41.444485714198429</v>
      </c>
      <c r="AH82" s="8">
        <f t="shared" si="39"/>
        <v>41.995052336466124</v>
      </c>
      <c r="AI82" s="8">
        <f t="shared" si="39"/>
        <v>41.838463669422751</v>
      </c>
      <c r="AJ82" s="8">
        <f t="shared" si="39"/>
        <v>40.356023737771011</v>
      </c>
      <c r="AK82" s="8">
        <f t="shared" si="39"/>
        <v>40.628913103120254</v>
      </c>
      <c r="AL82" s="8">
        <f t="shared" si="39"/>
        <v>39.407490181976598</v>
      </c>
      <c r="AM82" s="8">
        <f t="shared" si="39"/>
        <v>36.033045273573819</v>
      </c>
      <c r="AN82" s="8">
        <f t="shared" si="39"/>
        <v>39.043285152759225</v>
      </c>
    </row>
    <row r="83" spans="3:40" x14ac:dyDescent="0.2">
      <c r="C83" s="18" t="s">
        <v>35</v>
      </c>
      <c r="D83" s="8">
        <f>D44/D$81*100</f>
        <v>52.499414805114284</v>
      </c>
      <c r="E83" s="7">
        <f>E44/E$81*100</f>
        <v>50.655118745676731</v>
      </c>
      <c r="F83" s="23">
        <f>F44/F$81*100</f>
        <v>50.224728979781055</v>
      </c>
      <c r="G83" s="8">
        <f t="shared" ref="G83:AB83" si="40">G44/G$81*100</f>
        <v>49.627064069304751</v>
      </c>
      <c r="H83" s="8">
        <f t="shared" si="40"/>
        <v>48.470955809069963</v>
      </c>
      <c r="I83" s="8">
        <f t="shared" si="40"/>
        <v>47.472853846695791</v>
      </c>
      <c r="J83" s="8">
        <f t="shared" si="40"/>
        <v>46.061001432599554</v>
      </c>
      <c r="K83" s="8">
        <f t="shared" si="40"/>
        <v>47.969424025231753</v>
      </c>
      <c r="L83" s="8">
        <f t="shared" si="40"/>
        <v>46.415092490986048</v>
      </c>
      <c r="M83" s="8">
        <f t="shared" si="40"/>
        <v>50.488433160994141</v>
      </c>
      <c r="N83" s="8">
        <f t="shared" si="40"/>
        <v>47.512851617037832</v>
      </c>
      <c r="O83" s="8">
        <f t="shared" si="40"/>
        <v>48.818624577918939</v>
      </c>
      <c r="P83" s="8">
        <f t="shared" si="40"/>
        <v>50.293649856450152</v>
      </c>
      <c r="Q83" s="8">
        <f t="shared" si="40"/>
        <v>49.680236645713663</v>
      </c>
      <c r="R83" s="8">
        <f t="shared" si="40"/>
        <v>50.131747055935307</v>
      </c>
      <c r="S83" s="8">
        <f t="shared" si="40"/>
        <v>51.39296441360127</v>
      </c>
      <c r="T83" s="8">
        <f t="shared" si="40"/>
        <v>50.925446471408456</v>
      </c>
      <c r="U83" s="8">
        <f t="shared" ref="U83" si="41">U44/U$81*100</f>
        <v>52.821321221700487</v>
      </c>
      <c r="V83" s="8">
        <f t="shared" si="40"/>
        <v>53.074963263483468</v>
      </c>
      <c r="W83" s="8">
        <f t="shared" si="40"/>
        <v>54.51487390529217</v>
      </c>
      <c r="X83" s="8">
        <f t="shared" si="40"/>
        <v>54.269876352301779</v>
      </c>
      <c r="Y83" s="8">
        <f t="shared" si="40"/>
        <v>54.516169089944633</v>
      </c>
      <c r="Z83" s="8">
        <f t="shared" si="40"/>
        <v>54.55858184273157</v>
      </c>
      <c r="AA83" s="8">
        <f t="shared" si="40"/>
        <v>54.586008856116607</v>
      </c>
      <c r="AB83" s="8">
        <f t="shared" si="40"/>
        <v>54.05906860964933</v>
      </c>
      <c r="AC83" s="8">
        <v>54.809030787808176</v>
      </c>
      <c r="AD83" s="8">
        <f t="shared" ref="AD83:AN83" si="42">AD44/AD$81*100</f>
        <v>51.062881844291553</v>
      </c>
      <c r="AE83" s="8">
        <f t="shared" si="42"/>
        <v>52.877107455128765</v>
      </c>
      <c r="AF83" s="8">
        <f t="shared" si="42"/>
        <v>54.683303766711155</v>
      </c>
      <c r="AG83" s="8">
        <f t="shared" si="42"/>
        <v>52.034790249848776</v>
      </c>
      <c r="AH83" s="8">
        <f t="shared" si="42"/>
        <v>53.838736798677289</v>
      </c>
      <c r="AI83" s="8">
        <f t="shared" si="42"/>
        <v>52.075928290111086</v>
      </c>
      <c r="AJ83" s="8">
        <f t="shared" si="42"/>
        <v>51.6193305514592</v>
      </c>
      <c r="AK83" s="8">
        <f t="shared" si="42"/>
        <v>51.560923341209644</v>
      </c>
      <c r="AL83" s="8">
        <f t="shared" si="42"/>
        <v>49.465238332759789</v>
      </c>
      <c r="AM83" s="8">
        <f t="shared" si="42"/>
        <v>46.715224322006897</v>
      </c>
      <c r="AN83" s="8">
        <f t="shared" si="42"/>
        <v>51.525425584625864</v>
      </c>
    </row>
    <row r="84" spans="3:40" x14ac:dyDescent="0.2">
      <c r="C84" s="18" t="s">
        <v>36</v>
      </c>
      <c r="D84" s="8">
        <f>D61/D$81*100</f>
        <v>0.62663301005269922</v>
      </c>
      <c r="E84" s="7">
        <f>E61/E$81*100</f>
        <v>0.43737030205210975</v>
      </c>
      <c r="F84" s="23">
        <f>F61/F$81*100</f>
        <v>0.72907036534777714</v>
      </c>
      <c r="G84" s="8">
        <f t="shared" ref="G84:M84" si="43">G61/G$81*100</f>
        <v>3.1223491995973873</v>
      </c>
      <c r="H84" s="8">
        <f t="shared" si="43"/>
        <v>4.0491741724340935</v>
      </c>
      <c r="I84" s="8">
        <f>I61/I$81*100</f>
        <v>5.5045265605185287</v>
      </c>
      <c r="J84" s="8">
        <f t="shared" si="43"/>
        <v>5.0598289116361332</v>
      </c>
      <c r="K84" s="8">
        <f>K61/K$81*100</f>
        <v>4.3829109963370572</v>
      </c>
      <c r="L84" s="8">
        <f t="shared" si="43"/>
        <v>4.8462729267910332</v>
      </c>
      <c r="M84" s="8">
        <f t="shared" si="43"/>
        <v>4.2580687313420649</v>
      </c>
      <c r="N84" s="8">
        <f t="shared" ref="N84:S84" si="44">N61/N$81*100</f>
        <v>3.2500057220022431</v>
      </c>
      <c r="O84" s="8">
        <f t="shared" si="44"/>
        <v>3.6905620914088271</v>
      </c>
      <c r="P84" s="8">
        <f t="shared" si="44"/>
        <v>3.3808942159373543</v>
      </c>
      <c r="Q84" s="8">
        <f t="shared" si="44"/>
        <v>3.8684942826242819</v>
      </c>
      <c r="R84" s="8">
        <f t="shared" si="44"/>
        <v>3.1652712189880283</v>
      </c>
      <c r="S84" s="8">
        <f t="shared" si="44"/>
        <v>3.7024471714944225</v>
      </c>
      <c r="T84" s="8">
        <f t="shared" ref="T84:AB84" si="45">T61/T$81*100</f>
        <v>3.3719083708148299</v>
      </c>
      <c r="U84" s="8">
        <f t="shared" si="45"/>
        <v>4.2571560786461085</v>
      </c>
      <c r="V84" s="8">
        <f t="shared" si="45"/>
        <v>4.1731644290132808</v>
      </c>
      <c r="W84" s="8">
        <f t="shared" si="45"/>
        <v>3.5500516516334777</v>
      </c>
      <c r="X84" s="8">
        <f t="shared" si="45"/>
        <v>3.4438083734023377</v>
      </c>
      <c r="Y84" s="8">
        <f t="shared" si="45"/>
        <v>3.5961965133359626</v>
      </c>
      <c r="Z84" s="8">
        <f t="shared" si="45"/>
        <v>3.6573161666928073</v>
      </c>
      <c r="AA84" s="8">
        <f t="shared" si="45"/>
        <v>3.5628930531788408</v>
      </c>
      <c r="AB84" s="8">
        <f t="shared" si="45"/>
        <v>3.6964100600194123</v>
      </c>
      <c r="AC84" s="8">
        <v>3.7002464081829078</v>
      </c>
      <c r="AD84" s="8">
        <f>AD61/AD$81*100</f>
        <v>3.1592002602283777</v>
      </c>
      <c r="AE84" s="8">
        <f>AE61/AE$81*100</f>
        <v>3.7047400302352704</v>
      </c>
      <c r="AF84" s="8">
        <f>AF61/AF$81*100</f>
        <v>3.5474372132830099</v>
      </c>
      <c r="AG84" s="8">
        <f>AG61/AG$81*100</f>
        <v>3.3031562578287779</v>
      </c>
      <c r="AH84" s="8">
        <f>AH61/AH$81*100</f>
        <v>3.2037918543267834</v>
      </c>
      <c r="AI84" s="8">
        <f t="shared" ref="AI84:AL84" si="46">AI61/AI$81*100</f>
        <v>3.3234200416563455</v>
      </c>
      <c r="AJ84" s="8">
        <f t="shared" si="46"/>
        <v>3.4072009901682687</v>
      </c>
      <c r="AK84" s="8">
        <f t="shared" si="46"/>
        <v>3.2442759501221969</v>
      </c>
      <c r="AL84" s="8">
        <f t="shared" si="46"/>
        <v>3.1625184148354939</v>
      </c>
      <c r="AM84" s="8">
        <f>AM61/AM$81*100</f>
        <v>2.8205422505703424</v>
      </c>
      <c r="AN84" s="8">
        <f>AN61/AN$81*100</f>
        <v>3.3416627219720225</v>
      </c>
    </row>
    <row r="85" spans="3:40" x14ac:dyDescent="0.2">
      <c r="C85" s="18" t="s">
        <v>37</v>
      </c>
      <c r="D85" s="8">
        <f>D63/D$81*100</f>
        <v>53.126047815166984</v>
      </c>
      <c r="E85" s="7">
        <f>E63/E$81*100</f>
        <v>51.09248904772884</v>
      </c>
      <c r="F85" s="23">
        <f>F63/F$81*100</f>
        <v>50.953799345128829</v>
      </c>
      <c r="G85" s="8">
        <f t="shared" ref="G85:M85" si="47">G63/G$81*100</f>
        <v>52.749413268902131</v>
      </c>
      <c r="H85" s="8">
        <f t="shared" si="47"/>
        <v>52.520129981504063</v>
      </c>
      <c r="I85" s="8">
        <f>I63/I$81*100</f>
        <v>52.977380407214312</v>
      </c>
      <c r="J85" s="8">
        <f t="shared" si="47"/>
        <v>51.120830344235678</v>
      </c>
      <c r="K85" s="8">
        <f>K63/K$81*100</f>
        <v>52.352335021568805</v>
      </c>
      <c r="L85" s="8">
        <f t="shared" si="47"/>
        <v>51.261365417777085</v>
      </c>
      <c r="M85" s="8">
        <f t="shared" si="47"/>
        <v>54.746501892336205</v>
      </c>
      <c r="N85" s="8">
        <f t="shared" ref="N85:S85" si="48">N63/N$81*100</f>
        <v>50.762857339040082</v>
      </c>
      <c r="O85" s="8">
        <f t="shared" si="48"/>
        <v>52.509186669327768</v>
      </c>
      <c r="P85" s="8">
        <f t="shared" si="48"/>
        <v>53.674544072387512</v>
      </c>
      <c r="Q85" s="8">
        <f t="shared" si="48"/>
        <v>53.548730928337939</v>
      </c>
      <c r="R85" s="8">
        <f t="shared" si="48"/>
        <v>53.297018274923325</v>
      </c>
      <c r="S85" s="8">
        <f t="shared" si="48"/>
        <v>55.09541158509569</v>
      </c>
      <c r="T85" s="8">
        <f t="shared" ref="T85:AB85" si="49">T63/T$81*100</f>
        <v>54.297354842223285</v>
      </c>
      <c r="U85" s="8">
        <f t="shared" si="49"/>
        <v>57.078477300346599</v>
      </c>
      <c r="V85" s="8">
        <f t="shared" si="49"/>
        <v>57.248127692496752</v>
      </c>
      <c r="W85" s="8">
        <f t="shared" si="49"/>
        <v>58.064925556925651</v>
      </c>
      <c r="X85" s="8">
        <f t="shared" si="49"/>
        <v>57.713684725704127</v>
      </c>
      <c r="Y85" s="8">
        <f t="shared" si="49"/>
        <v>58.112365603280601</v>
      </c>
      <c r="Z85" s="8">
        <f t="shared" si="49"/>
        <v>58.215898009424372</v>
      </c>
      <c r="AA85" s="8">
        <f t="shared" si="49"/>
        <v>58.148901909295446</v>
      </c>
      <c r="AB85" s="8">
        <f t="shared" si="49"/>
        <v>57.755478669668733</v>
      </c>
      <c r="AC85" s="8">
        <v>58.509277195991082</v>
      </c>
      <c r="AD85" s="8">
        <f>AD63/AD$81*100</f>
        <v>54.222082104519927</v>
      </c>
      <c r="AE85" s="8">
        <f>AE63/AE$81*100</f>
        <v>56.581847485364037</v>
      </c>
      <c r="AF85" s="8">
        <f>AF63/AF$81*100</f>
        <v>58.230740979994152</v>
      </c>
      <c r="AG85" s="8">
        <f>AG63/AG$81*100</f>
        <v>55.33794650767755</v>
      </c>
      <c r="AH85" s="8">
        <f>AH63/AH$81*100</f>
        <v>57.042528653004076</v>
      </c>
      <c r="AI85" s="8">
        <f t="shared" ref="AI85:AL85" si="50">AI63/AI$81*100</f>
        <v>55.399348331767428</v>
      </c>
      <c r="AJ85" s="8">
        <f t="shared" si="50"/>
        <v>55.026531541627463</v>
      </c>
      <c r="AK85" s="8">
        <f t="shared" si="50"/>
        <v>54.805199291331832</v>
      </c>
      <c r="AL85" s="8">
        <f t="shared" si="50"/>
        <v>52.627756747595278</v>
      </c>
      <c r="AM85" s="8">
        <f>AM63/AM$81*100</f>
        <v>49.535766572577238</v>
      </c>
      <c r="AN85" s="8">
        <f>AN63/AN$81*100</f>
        <v>54.867088306597886</v>
      </c>
    </row>
    <row r="86" spans="3:40" x14ac:dyDescent="0.2">
      <c r="C86" s="20"/>
      <c r="D86" s="108"/>
      <c r="E86" s="176"/>
      <c r="F86" s="177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</row>
    <row r="87" spans="3:40" x14ac:dyDescent="0.2">
      <c r="C87" s="21" t="s">
        <v>53</v>
      </c>
      <c r="D87" s="178">
        <v>586207</v>
      </c>
      <c r="E87" s="179">
        <f>626216-8088*0</f>
        <v>626216</v>
      </c>
      <c r="F87" s="174">
        <f>704967</f>
        <v>704967</v>
      </c>
      <c r="G87" s="178">
        <f>699665-7500*0</f>
        <v>699665</v>
      </c>
      <c r="H87" s="178">
        <f>769207-4720*0</f>
        <v>769207</v>
      </c>
      <c r="I87" s="178">
        <v>824831</v>
      </c>
      <c r="J87" s="178">
        <f>866460-3813*0</f>
        <v>866460</v>
      </c>
      <c r="K87" s="178">
        <v>884392</v>
      </c>
      <c r="L87" s="178">
        <v>923060</v>
      </c>
      <c r="M87" s="178">
        <v>949477</v>
      </c>
      <c r="N87" s="178">
        <v>1025883</v>
      </c>
      <c r="O87" s="178">
        <v>1036511</v>
      </c>
      <c r="P87" s="178">
        <v>1063941</v>
      </c>
      <c r="Q87" s="178">
        <v>1114002</v>
      </c>
      <c r="R87" s="178">
        <v>974615</v>
      </c>
      <c r="S87" s="178">
        <v>1022219</v>
      </c>
      <c r="T87" s="178">
        <v>1000377</v>
      </c>
      <c r="U87" s="178">
        <v>1055701</v>
      </c>
      <c r="V87" s="178">
        <v>1012755</v>
      </c>
      <c r="W87" s="178">
        <v>1084701</v>
      </c>
      <c r="X87" s="178">
        <v>1051387</v>
      </c>
      <c r="Y87" s="178">
        <v>1076368</v>
      </c>
      <c r="Z87" s="178">
        <v>1091863</v>
      </c>
      <c r="AA87" s="178">
        <v>1098237</v>
      </c>
      <c r="AB87" s="178">
        <v>1133826</v>
      </c>
      <c r="AC87" s="178">
        <v>1118455</v>
      </c>
      <c r="AD87" s="178">
        <v>1234517</v>
      </c>
      <c r="AE87" s="178">
        <v>1180857</v>
      </c>
      <c r="AF87" s="178">
        <v>1281618</v>
      </c>
      <c r="AG87" s="178">
        <v>1249272</v>
      </c>
      <c r="AH87" s="178">
        <v>1273644</v>
      </c>
      <c r="AI87" s="178">
        <v>1314498</v>
      </c>
      <c r="AJ87" s="178">
        <v>1403918</v>
      </c>
      <c r="AK87" s="178">
        <v>1465359</v>
      </c>
      <c r="AL87" s="178">
        <v>1523222</v>
      </c>
      <c r="AM87" s="178">
        <v>1364818.7237529999</v>
      </c>
      <c r="AN87" s="178">
        <v>1488336</v>
      </c>
    </row>
    <row r="88" spans="3:40" x14ac:dyDescent="0.2">
      <c r="C88" s="40" t="s">
        <v>50</v>
      </c>
      <c r="D88" s="8">
        <f>D7/D$87*100</f>
        <v>45.603686069937751</v>
      </c>
      <c r="E88" s="7">
        <f>E7/E$87*100</f>
        <v>45.525665265659129</v>
      </c>
      <c r="F88" s="23">
        <f>F7/F$87*100</f>
        <v>43.297345833209214</v>
      </c>
      <c r="G88" s="8">
        <f t="shared" ref="G88:AB88" si="51">G7/G$87*100</f>
        <v>46.042034402178182</v>
      </c>
      <c r="H88" s="8">
        <f t="shared" si="51"/>
        <v>43.022749402956549</v>
      </c>
      <c r="I88" s="8">
        <f t="shared" si="51"/>
        <v>41.473222999620532</v>
      </c>
      <c r="J88" s="8">
        <f t="shared" si="51"/>
        <v>39.644299794566393</v>
      </c>
      <c r="K88" s="8">
        <f t="shared" si="51"/>
        <v>40.999692444074576</v>
      </c>
      <c r="L88" s="8">
        <f t="shared" si="51"/>
        <v>40.404090741663595</v>
      </c>
      <c r="M88" s="8">
        <f t="shared" si="51"/>
        <v>43.852036436901578</v>
      </c>
      <c r="N88" s="8">
        <f t="shared" si="51"/>
        <v>40.281689042512646</v>
      </c>
      <c r="O88" s="8">
        <f t="shared" si="51"/>
        <v>40.70964996994725</v>
      </c>
      <c r="P88" s="8">
        <f t="shared" si="51"/>
        <v>40.342180628437099</v>
      </c>
      <c r="Q88" s="8">
        <f t="shared" si="51"/>
        <v>40.32847337796521</v>
      </c>
      <c r="R88" s="8">
        <f t="shared" si="51"/>
        <v>47.079308239663867</v>
      </c>
      <c r="S88" s="8">
        <f t="shared" si="51"/>
        <v>45.315142841211134</v>
      </c>
      <c r="T88" s="8">
        <f t="shared" si="51"/>
        <v>46.125210795530087</v>
      </c>
      <c r="U88" s="8">
        <f t="shared" ref="U88" si="52">U7/U$87*100</f>
        <v>45.10367992452408</v>
      </c>
      <c r="V88" s="8">
        <f t="shared" si="51"/>
        <v>46.840450059491189</v>
      </c>
      <c r="W88" s="8">
        <f t="shared" si="51"/>
        <v>45.805341748555591</v>
      </c>
      <c r="X88" s="8">
        <f t="shared" si="51"/>
        <v>46.229789791960521</v>
      </c>
      <c r="Y88" s="8">
        <f t="shared" si="51"/>
        <v>46.832124329225692</v>
      </c>
      <c r="Z88" s="8">
        <f t="shared" si="51"/>
        <v>45.34927916780768</v>
      </c>
      <c r="AA88" s="8">
        <f t="shared" si="51"/>
        <v>46.709579079925376</v>
      </c>
      <c r="AB88" s="8">
        <f t="shared" si="51"/>
        <v>44.285542931631483</v>
      </c>
      <c r="AC88" s="8">
        <v>46.39877411758814</v>
      </c>
      <c r="AD88" s="8">
        <f t="shared" ref="AD88:AN88" si="53">AD7/AD$87*100</f>
        <v>41.52903524212303</v>
      </c>
      <c r="AE88" s="8">
        <f t="shared" si="53"/>
        <v>44.286056652075565</v>
      </c>
      <c r="AF88" s="8">
        <f t="shared" si="53"/>
        <v>40.575819003790521</v>
      </c>
      <c r="AG88" s="8">
        <f t="shared" si="53"/>
        <v>43.434980292522368</v>
      </c>
      <c r="AH88" s="8">
        <f t="shared" si="53"/>
        <v>42.197898313814534</v>
      </c>
      <c r="AI88" s="8">
        <f t="shared" si="53"/>
        <v>43.429887302985627</v>
      </c>
      <c r="AJ88" s="8">
        <f t="shared" si="53"/>
        <v>40.271397617239757</v>
      </c>
      <c r="AK88" s="8">
        <f t="shared" si="53"/>
        <v>41.737963188542878</v>
      </c>
      <c r="AL88" s="8">
        <f t="shared" si="53"/>
        <v>40.145231620866824</v>
      </c>
      <c r="AM88" s="8">
        <f t="shared" si="53"/>
        <v>49.233716046352193</v>
      </c>
      <c r="AN88" s="8">
        <f t="shared" si="53"/>
        <v>47.437795027466912</v>
      </c>
    </row>
    <row r="89" spans="3:40" x14ac:dyDescent="0.2">
      <c r="C89" s="18" t="s">
        <v>38</v>
      </c>
      <c r="D89" s="8">
        <f>D44/D$87*100</f>
        <v>56.624537066258164</v>
      </c>
      <c r="E89" s="7">
        <f>E44/E$87*100</f>
        <v>56.131750067069511</v>
      </c>
      <c r="F89" s="23">
        <f>F44/F$87*100</f>
        <v>53.481652332662378</v>
      </c>
      <c r="G89" s="8">
        <f t="shared" ref="G89:AB89" si="54">G44/G$87*100</f>
        <v>57.362166179528771</v>
      </c>
      <c r="H89" s="8">
        <f t="shared" si="54"/>
        <v>54.374440170201254</v>
      </c>
      <c r="I89" s="8">
        <f t="shared" si="54"/>
        <v>52.283558692629164</v>
      </c>
      <c r="J89" s="8">
        <f t="shared" si="54"/>
        <v>49.055928721464348</v>
      </c>
      <c r="K89" s="8">
        <f t="shared" si="54"/>
        <v>52.004880188875525</v>
      </c>
      <c r="L89" s="8">
        <f t="shared" si="54"/>
        <v>51.321799232985946</v>
      </c>
      <c r="M89" s="8">
        <f t="shared" si="54"/>
        <v>55.343310053850701</v>
      </c>
      <c r="N89" s="8">
        <f t="shared" si="54"/>
        <v>50.587737588009553</v>
      </c>
      <c r="O89" s="8">
        <f t="shared" si="54"/>
        <v>52.153233299019497</v>
      </c>
      <c r="P89" s="8">
        <f t="shared" si="54"/>
        <v>51.239213452625663</v>
      </c>
      <c r="Q89" s="8">
        <f t="shared" si="54"/>
        <v>51.379351204037334</v>
      </c>
      <c r="R89" s="8">
        <f t="shared" si="54"/>
        <v>60.028011060777843</v>
      </c>
      <c r="S89" s="8">
        <f t="shared" si="54"/>
        <v>59.572850827464563</v>
      </c>
      <c r="T89" s="8">
        <f t="shared" si="54"/>
        <v>58.887999224292443</v>
      </c>
      <c r="U89" s="8">
        <f t="shared" ref="U89" si="55">U44/U$87*100</f>
        <v>59.575959480951525</v>
      </c>
      <c r="V89" s="8">
        <f t="shared" si="54"/>
        <v>60.55709426267952</v>
      </c>
      <c r="W89" s="8">
        <f t="shared" si="54"/>
        <v>59.791961102644876</v>
      </c>
      <c r="X89" s="8">
        <f t="shared" si="54"/>
        <v>59.483235002905687</v>
      </c>
      <c r="Y89" s="8">
        <f t="shared" si="54"/>
        <v>59.580995347316154</v>
      </c>
      <c r="Z89" s="8">
        <f t="shared" si="54"/>
        <v>58.619259009601024</v>
      </c>
      <c r="AA89" s="8">
        <f t="shared" si="54"/>
        <v>60.152779044960234</v>
      </c>
      <c r="AB89" s="8">
        <f t="shared" si="54"/>
        <v>57.767593969445052</v>
      </c>
      <c r="AC89" s="8">
        <v>59.709453899020325</v>
      </c>
      <c r="AD89" s="8">
        <f t="shared" ref="AD89:AN89" si="56">AD44/AD$87*100</f>
        <v>53.660662429111952</v>
      </c>
      <c r="AE89" s="8">
        <f t="shared" si="56"/>
        <v>56.011608518220243</v>
      </c>
      <c r="AF89" s="8">
        <f t="shared" si="56"/>
        <v>52.047567996079955</v>
      </c>
      <c r="AG89" s="8">
        <f t="shared" si="56"/>
        <v>54.533915672487652</v>
      </c>
      <c r="AH89" s="8">
        <f t="shared" si="56"/>
        <v>54.098790556858901</v>
      </c>
      <c r="AI89" s="8">
        <f t="shared" si="56"/>
        <v>54.05675778890496</v>
      </c>
      <c r="AJ89" s="8">
        <f t="shared" si="56"/>
        <v>51.511085405272958</v>
      </c>
      <c r="AK89" s="8">
        <f t="shared" si="56"/>
        <v>52.968385221641931</v>
      </c>
      <c r="AL89" s="8">
        <f t="shared" si="56"/>
        <v>50.39126929626805</v>
      </c>
      <c r="AM89" s="8">
        <f t="shared" si="56"/>
        <v>63.829300905580077</v>
      </c>
      <c r="AN89" s="8">
        <f t="shared" si="56"/>
        <v>62.603660732522762</v>
      </c>
    </row>
    <row r="90" spans="3:40" x14ac:dyDescent="0.2">
      <c r="C90" s="18" t="s">
        <v>39</v>
      </c>
      <c r="D90" s="8">
        <f>D61/D$87*100</f>
        <v>0.67587046896403491</v>
      </c>
      <c r="E90" s="7">
        <f>E61/E$87*100</f>
        <v>0.48465705124110536</v>
      </c>
      <c r="F90" s="23">
        <f>F61/F$87*100</f>
        <v>0.77634839644976295</v>
      </c>
      <c r="G90" s="8">
        <f t="shared" ref="G90:M90" si="57">G61/G$87*100</f>
        <v>3.6090128847376959</v>
      </c>
      <c r="H90" s="8">
        <f t="shared" si="57"/>
        <v>4.5423403583170723</v>
      </c>
      <c r="I90" s="8">
        <f>I61/I$87*100</f>
        <v>6.0623327687732393</v>
      </c>
      <c r="J90" s="8">
        <f t="shared" si="57"/>
        <v>5.388823488678069</v>
      </c>
      <c r="K90" s="8">
        <f>K61/K$87*100</f>
        <v>4.7516259758116313</v>
      </c>
      <c r="L90" s="8">
        <f t="shared" si="57"/>
        <v>5.3585899074816377</v>
      </c>
      <c r="M90" s="8">
        <f t="shared" si="57"/>
        <v>4.6675169593365613</v>
      </c>
      <c r="N90" s="8">
        <f t="shared" ref="N90:S90" si="58">N61/N$87*100</f>
        <v>3.4603361202008416</v>
      </c>
      <c r="O90" s="8">
        <f t="shared" si="58"/>
        <v>3.9426499091664251</v>
      </c>
      <c r="P90" s="8">
        <f t="shared" si="58"/>
        <v>3.4444579163694229</v>
      </c>
      <c r="Q90" s="8">
        <f t="shared" si="58"/>
        <v>4.0008007166953021</v>
      </c>
      <c r="R90" s="8">
        <f t="shared" si="58"/>
        <v>3.790111992940802</v>
      </c>
      <c r="S90" s="8">
        <f t="shared" si="58"/>
        <v>4.2917417891860747</v>
      </c>
      <c r="T90" s="8">
        <f t="shared" ref="T90:AB90" si="59">T61/T$87*100</f>
        <v>3.8991300279794521</v>
      </c>
      <c r="U90" s="8">
        <f t="shared" si="59"/>
        <v>4.801548923416763</v>
      </c>
      <c r="V90" s="8">
        <f t="shared" si="59"/>
        <v>4.7614674822637255</v>
      </c>
      <c r="W90" s="8">
        <f t="shared" si="59"/>
        <v>3.8936997384532699</v>
      </c>
      <c r="X90" s="8">
        <f t="shared" si="59"/>
        <v>3.7746329372533616</v>
      </c>
      <c r="Y90" s="8">
        <f t="shared" si="59"/>
        <v>3.9303012538462681</v>
      </c>
      <c r="Z90" s="8">
        <f t="shared" si="59"/>
        <v>3.9295222935478171</v>
      </c>
      <c r="AA90" s="8">
        <f t="shared" si="59"/>
        <v>3.9262426962486248</v>
      </c>
      <c r="AB90" s="8">
        <f t="shared" si="59"/>
        <v>3.9499887989867934</v>
      </c>
      <c r="AC90" s="8">
        <v>4.0310819065525072</v>
      </c>
      <c r="AD90" s="8">
        <f>AD61/AD$87*100</f>
        <v>3.3199218803791277</v>
      </c>
      <c r="AE90" s="8">
        <f>AE61/AE$87*100</f>
        <v>3.9243532451431458</v>
      </c>
      <c r="AF90" s="8">
        <f>AF61/AF$87*100</f>
        <v>3.3764507052803565</v>
      </c>
      <c r="AG90" s="8">
        <f>AG61/AG$87*100</f>
        <v>3.4618001524087623</v>
      </c>
      <c r="AH90" s="8">
        <f>AH61/AH$87*100</f>
        <v>3.219266922311101</v>
      </c>
      <c r="AI90" s="8">
        <f t="shared" ref="AI90:AL90" si="60">AI61/AI$87*100</f>
        <v>3.449834081147328</v>
      </c>
      <c r="AJ90" s="8">
        <f t="shared" si="60"/>
        <v>3.4000561286342936</v>
      </c>
      <c r="AK90" s="8">
        <f t="shared" si="60"/>
        <v>3.3328351618954812</v>
      </c>
      <c r="AL90" s="8">
        <f t="shared" si="60"/>
        <v>3.221723425738336</v>
      </c>
      <c r="AM90" s="8">
        <f>AM61/AM$87*100</f>
        <v>3.8538451359580708</v>
      </c>
      <c r="AN90" s="8">
        <f>AN61/AN$87*100</f>
        <v>4.0601376302125329</v>
      </c>
    </row>
    <row r="91" spans="3:40" x14ac:dyDescent="0.2">
      <c r="C91" s="18" t="s">
        <v>40</v>
      </c>
      <c r="D91" s="8">
        <f>D63/D$87*100</f>
        <v>57.300407535222199</v>
      </c>
      <c r="E91" s="7">
        <f>E63/E$87*100</f>
        <v>56.616407118310619</v>
      </c>
      <c r="F91" s="23">
        <f>F63/F$87*100</f>
        <v>54.25800072911214</v>
      </c>
      <c r="G91" s="8">
        <f t="shared" ref="G91:M91" si="61">G63/G$87*100</f>
        <v>60.971179064266465</v>
      </c>
      <c r="H91" s="8">
        <f t="shared" si="61"/>
        <v>58.916780528518331</v>
      </c>
      <c r="I91" s="8">
        <f>I63/I$87*100</f>
        <v>58.345891461402402</v>
      </c>
      <c r="J91" s="8">
        <f t="shared" si="61"/>
        <v>54.444752210142425</v>
      </c>
      <c r="K91" s="8">
        <f>K63/K$87*100</f>
        <v>56.756506164687146</v>
      </c>
      <c r="L91" s="8">
        <f t="shared" si="61"/>
        <v>56.680389140467582</v>
      </c>
      <c r="M91" s="8">
        <f t="shared" si="61"/>
        <v>60.01082701318726</v>
      </c>
      <c r="N91" s="8">
        <f t="shared" ref="N91:S91" si="62">N63/N$87*100</f>
        <v>54.048073708210389</v>
      </c>
      <c r="O91" s="8">
        <f t="shared" si="62"/>
        <v>56.095883208185924</v>
      </c>
      <c r="P91" s="8">
        <f t="shared" si="62"/>
        <v>54.683671368995093</v>
      </c>
      <c r="Q91" s="8">
        <f t="shared" si="62"/>
        <v>55.380151920732636</v>
      </c>
      <c r="R91" s="8">
        <f t="shared" si="62"/>
        <v>63.818123053718644</v>
      </c>
      <c r="S91" s="8">
        <f t="shared" si="62"/>
        <v>63.86459261665064</v>
      </c>
      <c r="T91" s="8">
        <f t="shared" ref="T91:AB91" si="63">T63/T$87*100</f>
        <v>62.787129252271889</v>
      </c>
      <c r="U91" s="8">
        <f t="shared" si="63"/>
        <v>64.377508404368271</v>
      </c>
      <c r="V91" s="8">
        <f t="shared" si="63"/>
        <v>65.318561744943253</v>
      </c>
      <c r="W91" s="8">
        <f t="shared" si="63"/>
        <v>63.685660841098148</v>
      </c>
      <c r="X91" s="8">
        <f t="shared" si="63"/>
        <v>63.257867940159052</v>
      </c>
      <c r="Y91" s="8">
        <f t="shared" si="63"/>
        <v>63.511296601162428</v>
      </c>
      <c r="Z91" s="8">
        <f t="shared" si="63"/>
        <v>62.548781303148836</v>
      </c>
      <c r="AA91" s="8">
        <f t="shared" si="63"/>
        <v>64.079021741208862</v>
      </c>
      <c r="AB91" s="8">
        <f t="shared" si="63"/>
        <v>61.717582768431846</v>
      </c>
      <c r="AC91" s="8">
        <v>63.740535805572826</v>
      </c>
      <c r="AD91" s="8">
        <f>AD63/AD$87*100</f>
        <v>56.980584309491078</v>
      </c>
      <c r="AE91" s="8">
        <f>AE63/AE$87*100</f>
        <v>59.935961763363387</v>
      </c>
      <c r="AF91" s="8">
        <f>AF63/AF$87*100</f>
        <v>55.424018701360311</v>
      </c>
      <c r="AG91" s="8">
        <f>AG63/AG$87*100</f>
        <v>57.995715824896422</v>
      </c>
      <c r="AH91" s="8">
        <f>AH63/AH$87*100</f>
        <v>57.318057479170001</v>
      </c>
      <c r="AI91" s="8">
        <f t="shared" ref="AI91:AL91" si="64">AI63/AI$87*100</f>
        <v>57.50659187005229</v>
      </c>
      <c r="AJ91" s="8">
        <f t="shared" si="64"/>
        <v>54.911141533907248</v>
      </c>
      <c r="AK91" s="8">
        <f t="shared" si="64"/>
        <v>56.301220383537412</v>
      </c>
      <c r="AL91" s="8">
        <f t="shared" si="64"/>
        <v>53.612992722006382</v>
      </c>
      <c r="AM91" s="8">
        <f>AM63/AM$87*100</f>
        <v>67.683146041538151</v>
      </c>
      <c r="AN91" s="8">
        <f>AN63/AN$87*100</f>
        <v>66.663798362735292</v>
      </c>
    </row>
    <row r="92" spans="3:40" x14ac:dyDescent="0.2">
      <c r="C92" s="54" t="s">
        <v>118</v>
      </c>
      <c r="E92" s="180"/>
    </row>
    <row r="93" spans="3:40" ht="13.5" x14ac:dyDescent="0.2">
      <c r="L93" s="181" t="s">
        <v>85</v>
      </c>
      <c r="M93" s="182"/>
      <c r="N93" s="182"/>
      <c r="O93" s="182"/>
      <c r="P93" s="182"/>
      <c r="Q93" s="182"/>
      <c r="R93" s="183"/>
      <c r="S93" s="183"/>
      <c r="T93" s="183"/>
      <c r="U93" s="183"/>
      <c r="V93" s="183"/>
      <c r="W93" s="183">
        <v>-276</v>
      </c>
      <c r="X93" s="183"/>
      <c r="Y93" s="183">
        <v>-270</v>
      </c>
      <c r="Z93" s="183"/>
      <c r="AA93" s="183">
        <v>123</v>
      </c>
      <c r="AB93" s="183"/>
      <c r="AC93" s="183"/>
      <c r="AD93" s="183"/>
      <c r="AE93" s="183"/>
      <c r="AF93" s="183"/>
      <c r="AG93" s="183"/>
      <c r="AH93" s="183"/>
      <c r="AI93" s="183"/>
      <c r="AJ93" s="183"/>
      <c r="AK93" s="183"/>
      <c r="AL93" s="183"/>
      <c r="AM93" s="183"/>
      <c r="AN93" s="183"/>
    </row>
    <row r="94" spans="3:40" ht="13.5" x14ac:dyDescent="0.2">
      <c r="L94" s="181" t="s">
        <v>86</v>
      </c>
      <c r="M94" s="182"/>
      <c r="N94" s="182"/>
      <c r="O94" s="182"/>
      <c r="P94" s="182"/>
      <c r="Q94" s="182"/>
      <c r="R94" s="183"/>
      <c r="S94" s="183"/>
      <c r="T94" s="183"/>
      <c r="U94" s="183"/>
      <c r="V94" s="183"/>
      <c r="W94" s="183"/>
      <c r="X94" s="183"/>
      <c r="Y94" s="183">
        <v>-1967</v>
      </c>
      <c r="Z94" s="183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M94" s="184"/>
      <c r="AN94" s="183"/>
    </row>
    <row r="95" spans="3:40" ht="13.5" x14ac:dyDescent="0.2">
      <c r="L95" s="181" t="s">
        <v>83</v>
      </c>
      <c r="M95" s="182"/>
      <c r="N95" s="182"/>
      <c r="O95" s="182"/>
      <c r="P95" s="182"/>
      <c r="Q95" s="182"/>
      <c r="R95" s="183"/>
      <c r="S95" s="183"/>
      <c r="T95" s="183"/>
      <c r="U95" s="183">
        <v>-36</v>
      </c>
      <c r="V95" s="183"/>
      <c r="W95" s="183">
        <v>-14</v>
      </c>
      <c r="X95" s="183"/>
      <c r="Y95" s="183">
        <v>-3</v>
      </c>
      <c r="Z95" s="183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</row>
    <row r="96" spans="3:40" ht="13.5" x14ac:dyDescent="0.2">
      <c r="L96" s="181" t="s">
        <v>88</v>
      </c>
      <c r="M96" s="182"/>
      <c r="N96" s="182"/>
      <c r="O96" s="182"/>
      <c r="P96" s="182"/>
      <c r="Q96" s="182"/>
      <c r="R96" s="183"/>
      <c r="S96" s="183"/>
      <c r="T96" s="183"/>
      <c r="U96" s="183">
        <v>-36</v>
      </c>
      <c r="V96" s="183"/>
      <c r="W96" s="183">
        <v>-14</v>
      </c>
      <c r="X96" s="183"/>
      <c r="Y96" s="183">
        <v>-3</v>
      </c>
      <c r="Z96" s="183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</row>
    <row r="97" spans="18:40" ht="13.5" x14ac:dyDescent="0.2">
      <c r="R97" s="180"/>
      <c r="S97" s="180"/>
      <c r="T97" s="183"/>
      <c r="U97" s="183">
        <v>-36</v>
      </c>
      <c r="V97" s="183"/>
      <c r="W97" s="183">
        <v>-14</v>
      </c>
      <c r="X97" s="183"/>
      <c r="Y97" s="183">
        <v>-3</v>
      </c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</row>
    <row r="98" spans="18:40" ht="13.5" x14ac:dyDescent="0.2">
      <c r="R98" s="180"/>
      <c r="T98" s="183"/>
      <c r="U98" s="183">
        <v>-36</v>
      </c>
      <c r="V98" s="183"/>
      <c r="W98" s="183">
        <v>-14</v>
      </c>
      <c r="X98" s="183"/>
      <c r="Y98" s="183">
        <v>-3</v>
      </c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</row>
    <row r="99" spans="18:40" x14ac:dyDescent="0.2">
      <c r="R99" s="180"/>
    </row>
    <row r="100" spans="18:40" x14ac:dyDescent="0.2"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</row>
  </sheetData>
  <mergeCells count="17">
    <mergeCell ref="AL74:AN74"/>
    <mergeCell ref="AD22:AD23"/>
    <mergeCell ref="AH22:AH23"/>
    <mergeCell ref="AJ22:AJ23"/>
    <mergeCell ref="AF22:AF23"/>
    <mergeCell ref="AL22:AL23"/>
    <mergeCell ref="AE22:AE23"/>
    <mergeCell ref="C2:AN2"/>
    <mergeCell ref="AO22:AO23"/>
    <mergeCell ref="AO4:AO5"/>
    <mergeCell ref="AM22:AM23"/>
    <mergeCell ref="AN22:AN23"/>
    <mergeCell ref="T22:T23"/>
    <mergeCell ref="V22:V23"/>
    <mergeCell ref="X22:X23"/>
    <mergeCell ref="Z22:Z23"/>
    <mergeCell ref="AB22:AB23"/>
  </mergeCells>
  <phoneticPr fontId="0" type="noConversion"/>
  <printOptions horizontalCentered="1"/>
  <pageMargins left="0.39370078740157483" right="0.39370078740157483" top="0.98425196850393704" bottom="0" header="0.39370078740157483" footer="0.19685039370078741"/>
  <pageSetup paperSize="9" scale="65" fitToHeight="3" orientation="landscape" useFirstPageNumber="1" r:id="rId1"/>
  <headerFooter alignWithMargins="0">
    <oddFooter>&amp;CStrana &amp;P</oddFooter>
  </headerFooter>
  <rowBreaks count="1" manualBreakCount="1">
    <brk id="44" min="1" max="4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Q53"/>
  <sheetViews>
    <sheetView tabSelected="1" zoomScaleNormal="100" workbookViewId="0">
      <pane xSplit="4" ySplit="6" topLeftCell="E7" activePane="bottomRight" state="frozen"/>
      <selection activeCell="T7" sqref="T7"/>
      <selection pane="topRight" activeCell="T7" sqref="T7"/>
      <selection pane="bottomLeft" activeCell="T7" sqref="T7"/>
      <selection pane="bottomRight" activeCell="T7" sqref="T7"/>
    </sheetView>
  </sheetViews>
  <sheetFormatPr defaultColWidth="9.140625" defaultRowHeight="12.75" x14ac:dyDescent="0.2"/>
  <cols>
    <col min="1" max="1" width="1.7109375" style="61" customWidth="1"/>
    <col min="2" max="2" width="1.42578125" style="61" customWidth="1"/>
    <col min="3" max="3" width="4.42578125" style="61" customWidth="1"/>
    <col min="4" max="4" width="51.42578125" style="61" customWidth="1"/>
    <col min="5" max="5" width="10.28515625" style="61" hidden="1" customWidth="1"/>
    <col min="6" max="6" width="11.42578125" style="61" hidden="1" customWidth="1"/>
    <col min="7" max="8" width="10.28515625" style="61" hidden="1" customWidth="1"/>
    <col min="9" max="9" width="9.42578125" style="61" hidden="1" customWidth="1"/>
    <col min="10" max="10" width="10.140625" style="61" hidden="1" customWidth="1"/>
    <col min="11" max="11" width="9.42578125" style="61" hidden="1" customWidth="1"/>
    <col min="12" max="12" width="11" style="61" hidden="1" customWidth="1"/>
    <col min="13" max="13" width="10.140625" style="61" hidden="1" customWidth="1"/>
    <col min="14" max="14" width="11.28515625" style="61" hidden="1" customWidth="1"/>
    <col min="15" max="15" width="10.140625" style="61" hidden="1" customWidth="1"/>
    <col min="16" max="16" width="11.140625" style="61" hidden="1" customWidth="1"/>
    <col min="17" max="17" width="11.42578125" style="61" hidden="1" customWidth="1"/>
    <col min="18" max="18" width="11" style="61" hidden="1" customWidth="1"/>
    <col min="19" max="19" width="9.42578125" style="61" hidden="1" customWidth="1"/>
    <col min="20" max="20" width="11" style="61" hidden="1" customWidth="1"/>
    <col min="21" max="21" width="9.42578125" style="61" customWidth="1"/>
    <col min="22" max="22" width="9.42578125" style="61" hidden="1" customWidth="1"/>
    <col min="23" max="23" width="11.140625" style="61" customWidth="1"/>
    <col min="24" max="24" width="10.7109375" style="61" hidden="1" customWidth="1"/>
    <col min="25" max="25" width="10.7109375" style="61" customWidth="1"/>
    <col min="26" max="26" width="10.85546875" style="61" hidden="1" customWidth="1"/>
    <col min="27" max="27" width="11.42578125" style="61" customWidth="1"/>
    <col min="28" max="28" width="9.42578125" style="61" hidden="1" customWidth="1"/>
    <col min="29" max="29" width="10.7109375" style="61" customWidth="1"/>
    <col min="30" max="30" width="9.42578125" style="61" hidden="1" customWidth="1"/>
    <col min="31" max="31" width="10.7109375" style="61" bestFit="1" customWidth="1"/>
    <col min="32" max="32" width="10.7109375" style="61" hidden="1" customWidth="1"/>
    <col min="33" max="33" width="11.85546875" style="61" bestFit="1" customWidth="1"/>
    <col min="34" max="34" width="11.140625" style="61" hidden="1" customWidth="1"/>
    <col min="35" max="35" width="13.42578125" style="61" bestFit="1" customWidth="1"/>
    <col min="36" max="36" width="13.42578125" style="61" hidden="1" customWidth="1"/>
    <col min="37" max="37" width="11.140625" style="61" customWidth="1"/>
    <col min="38" max="38" width="11.140625" style="61" hidden="1" customWidth="1"/>
    <col min="39" max="39" width="11.140625" style="61" customWidth="1"/>
    <col min="40" max="40" width="12.28515625" style="61" customWidth="1"/>
    <col min="41" max="41" width="10.7109375" style="61" bestFit="1" customWidth="1"/>
    <col min="42" max="42" width="12.42578125" style="61" customWidth="1"/>
    <col min="43" max="16384" width="9.140625" style="61"/>
  </cols>
  <sheetData>
    <row r="2" spans="2:43" x14ac:dyDescent="0.2"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2:43" ht="18.75" x14ac:dyDescent="0.2">
      <c r="D3" s="242" t="s">
        <v>89</v>
      </c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</row>
    <row r="4" spans="2:43" ht="13.5" thickBot="1" x14ac:dyDescent="0.25"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3"/>
      <c r="AO4" s="213"/>
    </row>
    <row r="5" spans="2:43" ht="39" customHeight="1" thickTop="1" x14ac:dyDescent="0.2">
      <c r="C5" s="64" t="s">
        <v>0</v>
      </c>
      <c r="D5" s="65" t="s">
        <v>1</v>
      </c>
      <c r="E5" s="66">
        <v>2000</v>
      </c>
      <c r="F5" s="67">
        <v>2001</v>
      </c>
      <c r="G5" s="67">
        <v>2002</v>
      </c>
      <c r="H5" s="67">
        <v>2003</v>
      </c>
      <c r="I5" s="68">
        <v>2004</v>
      </c>
      <c r="J5" s="68">
        <v>2005</v>
      </c>
      <c r="K5" s="68">
        <v>2005</v>
      </c>
      <c r="L5" s="68">
        <v>2006</v>
      </c>
      <c r="M5" s="68">
        <v>2006</v>
      </c>
      <c r="N5" s="68">
        <v>2007</v>
      </c>
      <c r="O5" s="68">
        <v>2007</v>
      </c>
      <c r="P5" s="68">
        <v>2008</v>
      </c>
      <c r="Q5" s="68">
        <v>2008</v>
      </c>
      <c r="R5" s="68">
        <v>2009</v>
      </c>
      <c r="S5" s="68">
        <v>2009</v>
      </c>
      <c r="T5" s="68">
        <v>2010</v>
      </c>
      <c r="U5" s="68">
        <v>2010</v>
      </c>
      <c r="V5" s="68">
        <v>2011</v>
      </c>
      <c r="W5" s="68">
        <v>2011</v>
      </c>
      <c r="X5" s="68">
        <v>2012</v>
      </c>
      <c r="Y5" s="68">
        <v>2012</v>
      </c>
      <c r="Z5" s="68">
        <v>2013</v>
      </c>
      <c r="AA5" s="68">
        <v>2013</v>
      </c>
      <c r="AB5" s="68">
        <v>2014</v>
      </c>
      <c r="AC5" s="68">
        <v>2014</v>
      </c>
      <c r="AD5" s="69">
        <v>2015</v>
      </c>
      <c r="AE5" s="68">
        <v>2015</v>
      </c>
      <c r="AF5" s="69">
        <v>2016</v>
      </c>
      <c r="AG5" s="69">
        <v>2016</v>
      </c>
      <c r="AH5" s="68">
        <v>2017</v>
      </c>
      <c r="AI5" s="68">
        <v>2017</v>
      </c>
      <c r="AJ5" s="68">
        <v>2018</v>
      </c>
      <c r="AK5" s="68">
        <v>2018</v>
      </c>
      <c r="AL5" s="68">
        <v>2019</v>
      </c>
      <c r="AM5" s="68">
        <v>2019</v>
      </c>
      <c r="AN5" s="68">
        <v>2020</v>
      </c>
      <c r="AO5" s="66">
        <v>2021</v>
      </c>
      <c r="AP5" s="240" t="s">
        <v>125</v>
      </c>
    </row>
    <row r="6" spans="2:43" ht="26.25" thickBot="1" x14ac:dyDescent="0.25">
      <c r="C6" s="70"/>
      <c r="D6" s="71" t="s">
        <v>4</v>
      </c>
      <c r="E6" s="72" t="s">
        <v>2</v>
      </c>
      <c r="F6" s="72" t="s">
        <v>2</v>
      </c>
      <c r="G6" s="73" t="s">
        <v>90</v>
      </c>
      <c r="H6" s="74" t="s">
        <v>90</v>
      </c>
      <c r="I6" s="72" t="s">
        <v>2</v>
      </c>
      <c r="J6" s="72" t="s">
        <v>3</v>
      </c>
      <c r="K6" s="72" t="s">
        <v>2</v>
      </c>
      <c r="L6" s="72" t="s">
        <v>3</v>
      </c>
      <c r="M6" s="72" t="s">
        <v>91</v>
      </c>
      <c r="N6" s="72" t="s">
        <v>3</v>
      </c>
      <c r="O6" s="72" t="s">
        <v>91</v>
      </c>
      <c r="P6" s="72" t="s">
        <v>3</v>
      </c>
      <c r="Q6" s="72" t="s">
        <v>2</v>
      </c>
      <c r="R6" s="72" t="s">
        <v>3</v>
      </c>
      <c r="S6" s="72" t="s">
        <v>91</v>
      </c>
      <c r="T6" s="72" t="s">
        <v>3</v>
      </c>
      <c r="U6" s="72" t="s">
        <v>84</v>
      </c>
      <c r="V6" s="72" t="s">
        <v>3</v>
      </c>
      <c r="W6" s="72" t="s">
        <v>84</v>
      </c>
      <c r="X6" s="72" t="s">
        <v>3</v>
      </c>
      <c r="Y6" s="72" t="s">
        <v>84</v>
      </c>
      <c r="Z6" s="72" t="s">
        <v>3</v>
      </c>
      <c r="AA6" s="72" t="s">
        <v>84</v>
      </c>
      <c r="AB6" s="72" t="s">
        <v>3</v>
      </c>
      <c r="AC6" s="72" t="s">
        <v>84</v>
      </c>
      <c r="AD6" s="75" t="s">
        <v>3</v>
      </c>
      <c r="AE6" s="75" t="s">
        <v>84</v>
      </c>
      <c r="AF6" s="75" t="s">
        <v>3</v>
      </c>
      <c r="AG6" s="75" t="s">
        <v>84</v>
      </c>
      <c r="AH6" s="72" t="s">
        <v>3</v>
      </c>
      <c r="AI6" s="72" t="s">
        <v>84</v>
      </c>
      <c r="AJ6" s="72" t="s">
        <v>3</v>
      </c>
      <c r="AK6" s="72" t="s">
        <v>84</v>
      </c>
      <c r="AL6" s="72" t="s">
        <v>3</v>
      </c>
      <c r="AM6" s="72" t="s">
        <v>84</v>
      </c>
      <c r="AN6" s="73" t="s">
        <v>116</v>
      </c>
      <c r="AO6" s="75" t="s">
        <v>3</v>
      </c>
      <c r="AP6" s="241"/>
    </row>
    <row r="7" spans="2:43" ht="26.25" customHeight="1" thickTop="1" x14ac:dyDescent="0.2">
      <c r="C7" s="55"/>
      <c r="D7" s="13" t="s">
        <v>92</v>
      </c>
      <c r="E7" s="76"/>
      <c r="F7" s="77"/>
      <c r="G7" s="78"/>
      <c r="H7" s="79"/>
      <c r="I7" s="78"/>
      <c r="J7" s="80"/>
      <c r="K7" s="76"/>
      <c r="L7" s="80"/>
      <c r="M7" s="80"/>
      <c r="N7" s="80"/>
      <c r="O7" s="80"/>
      <c r="P7" s="80"/>
      <c r="Q7" s="80"/>
      <c r="R7" s="80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223"/>
      <c r="AO7" s="216"/>
      <c r="AP7" s="217"/>
    </row>
    <row r="8" spans="2:43" ht="25.5" customHeight="1" x14ac:dyDescent="0.2">
      <c r="B8" s="61">
        <v>2</v>
      </c>
      <c r="C8" s="56">
        <v>1</v>
      </c>
      <c r="D8" s="15" t="s">
        <v>93</v>
      </c>
      <c r="E8" s="1">
        <v>3422</v>
      </c>
      <c r="F8" s="82">
        <v>4058</v>
      </c>
      <c r="G8" s="29">
        <v>3495</v>
      </c>
      <c r="H8" s="2">
        <v>3191</v>
      </c>
      <c r="I8" s="29">
        <v>3937</v>
      </c>
      <c r="J8" s="1">
        <f>5922-1422-89</f>
        <v>4411</v>
      </c>
      <c r="K8" s="1">
        <f>4172-118</f>
        <v>4054</v>
      </c>
      <c r="L8" s="1">
        <f>4800+1000-50</f>
        <v>5750</v>
      </c>
      <c r="M8" s="1">
        <f>4024+329</f>
        <v>4353</v>
      </c>
      <c r="N8" s="1">
        <v>4800</v>
      </c>
      <c r="O8" s="1">
        <f>3574</f>
        <v>3574</v>
      </c>
      <c r="P8" s="1">
        <v>4800</v>
      </c>
      <c r="Q8" s="1">
        <f>6132-1949</f>
        <v>4183</v>
      </c>
      <c r="R8" s="1">
        <v>4000</v>
      </c>
      <c r="S8" s="29">
        <v>2695</v>
      </c>
      <c r="T8" s="29">
        <v>4000</v>
      </c>
      <c r="U8" s="29">
        <v>1997</v>
      </c>
      <c r="V8" s="29">
        <v>3000</v>
      </c>
      <c r="W8" s="29">
        <v>1983</v>
      </c>
      <c r="X8" s="29">
        <v>3180</v>
      </c>
      <c r="Y8" s="29">
        <v>1319</v>
      </c>
      <c r="Z8" s="29">
        <v>3100</v>
      </c>
      <c r="AA8" s="29">
        <v>1538</v>
      </c>
      <c r="AB8" s="29">
        <v>3000</v>
      </c>
      <c r="AC8" s="31">
        <v>1535</v>
      </c>
      <c r="AD8" s="31">
        <v>3000</v>
      </c>
      <c r="AE8" s="31">
        <v>2095</v>
      </c>
      <c r="AF8" s="31">
        <v>2380</v>
      </c>
      <c r="AG8" s="31">
        <v>2028</v>
      </c>
      <c r="AH8" s="31">
        <v>1976.82</v>
      </c>
      <c r="AI8" s="31">
        <v>2289</v>
      </c>
      <c r="AJ8" s="31">
        <v>400</v>
      </c>
      <c r="AK8" s="31">
        <v>1775</v>
      </c>
      <c r="AL8" s="31">
        <v>300</v>
      </c>
      <c r="AM8" s="31">
        <v>1435</v>
      </c>
      <c r="AN8" s="31">
        <v>13111.52</v>
      </c>
      <c r="AO8" s="3">
        <v>500</v>
      </c>
      <c r="AP8" s="218">
        <f>AO8/AN8*100</f>
        <v>3.8134403944012596</v>
      </c>
    </row>
    <row r="9" spans="2:43" ht="14.25" customHeight="1" x14ac:dyDescent="0.2">
      <c r="C9" s="56">
        <v>2</v>
      </c>
      <c r="D9" s="15" t="s">
        <v>94</v>
      </c>
      <c r="E9" s="1">
        <f>44670-2563-1373</f>
        <v>40734</v>
      </c>
      <c r="F9" s="82">
        <f>44977-2741-1622</f>
        <v>40614</v>
      </c>
      <c r="G9" s="29">
        <f>48924-4807</f>
        <v>44117</v>
      </c>
      <c r="H9" s="2">
        <f>53194-2973-1918</f>
        <v>48303</v>
      </c>
      <c r="I9" s="29">
        <f>52481-3008-2527</f>
        <v>46946</v>
      </c>
      <c r="J9" s="1">
        <f>52961-3174-2458-202-8</f>
        <v>47119</v>
      </c>
      <c r="K9" s="1">
        <f>58445-3143-2361</f>
        <v>52941</v>
      </c>
      <c r="L9" s="1">
        <f>55740-3211-2330-46</f>
        <v>50153</v>
      </c>
      <c r="M9" s="1">
        <f>63104-3297-2426</f>
        <v>57381</v>
      </c>
      <c r="N9" s="1">
        <v>48027</v>
      </c>
      <c r="O9" s="1">
        <f>61338-3480-2412</f>
        <v>55446</v>
      </c>
      <c r="P9" s="1">
        <v>47988</v>
      </c>
      <c r="Q9" s="1">
        <f>52896-6180</f>
        <v>46716</v>
      </c>
      <c r="R9" s="1">
        <v>49587</v>
      </c>
      <c r="S9" s="29">
        <f>59726-3830-2764</f>
        <v>53132</v>
      </c>
      <c r="T9" s="29">
        <v>42187</v>
      </c>
      <c r="U9" s="29">
        <f>50845-3854-2619</f>
        <v>44372</v>
      </c>
      <c r="V9" s="29">
        <f>43878-4138-2865</f>
        <v>36875</v>
      </c>
      <c r="W9" s="29">
        <f>45708-4060-2727</f>
        <v>38921</v>
      </c>
      <c r="X9" s="29">
        <v>36689</v>
      </c>
      <c r="Y9" s="29">
        <f>42935-4156-2668</f>
        <v>36111</v>
      </c>
      <c r="Z9" s="29">
        <v>35054</v>
      </c>
      <c r="AA9" s="29">
        <f>41464-6789</f>
        <v>34675</v>
      </c>
      <c r="AB9" s="29">
        <f>35119+554-1-731</f>
        <v>34941</v>
      </c>
      <c r="AC9" s="31">
        <v>34206</v>
      </c>
      <c r="AD9" s="31">
        <v>36786</v>
      </c>
      <c r="AE9" s="31">
        <v>40525</v>
      </c>
      <c r="AF9" s="31">
        <v>40792</v>
      </c>
      <c r="AG9" s="31">
        <v>38951</v>
      </c>
      <c r="AH9" s="31">
        <v>45627.044000000002</v>
      </c>
      <c r="AI9" s="31">
        <f>52909-4258-2506</f>
        <v>46145</v>
      </c>
      <c r="AJ9" s="31">
        <v>52001</v>
      </c>
      <c r="AK9" s="31">
        <f>59799-6935</f>
        <v>52864</v>
      </c>
      <c r="AL9" s="31">
        <v>59419.800999999999</v>
      </c>
      <c r="AM9" s="31">
        <v>61063</v>
      </c>
      <c r="AN9" s="29">
        <v>64811.365700000002</v>
      </c>
      <c r="AO9" s="1">
        <v>77210.896857</v>
      </c>
      <c r="AP9" s="218">
        <f t="shared" ref="AP9:AP18" si="0">AO9/AN9*100</f>
        <v>119.13172330667304</v>
      </c>
    </row>
    <row r="10" spans="2:43" ht="27" customHeight="1" x14ac:dyDescent="0.2">
      <c r="C10" s="56">
        <v>3</v>
      </c>
      <c r="D10" s="15" t="s">
        <v>110</v>
      </c>
      <c r="E10" s="1">
        <f>345+28+9</f>
        <v>382</v>
      </c>
      <c r="F10" s="82">
        <f>316+31+11</f>
        <v>358</v>
      </c>
      <c r="G10" s="29">
        <f>197+21+22</f>
        <v>240</v>
      </c>
      <c r="H10" s="2">
        <f>370+40+18</f>
        <v>428</v>
      </c>
      <c r="I10" s="29">
        <f>500+52</f>
        <v>552</v>
      </c>
      <c r="J10" s="1">
        <f>600+58</f>
        <v>658</v>
      </c>
      <c r="K10" s="1">
        <f>660+58</f>
        <v>718</v>
      </c>
      <c r="L10" s="1">
        <f>661+39+65</f>
        <v>765</v>
      </c>
      <c r="M10" s="1">
        <f>661+65+39</f>
        <v>765</v>
      </c>
      <c r="N10" s="1">
        <v>820</v>
      </c>
      <c r="O10" s="1">
        <v>820</v>
      </c>
      <c r="P10" s="1">
        <v>867</v>
      </c>
      <c r="Q10" s="1">
        <f>735+45+75</f>
        <v>855</v>
      </c>
      <c r="R10" s="1">
        <v>1015</v>
      </c>
      <c r="S10" s="29">
        <v>970</v>
      </c>
      <c r="T10" s="29">
        <v>837</v>
      </c>
      <c r="U10" s="29">
        <v>775</v>
      </c>
      <c r="V10" s="29">
        <v>807</v>
      </c>
      <c r="W10" s="29">
        <v>734</v>
      </c>
      <c r="X10" s="29">
        <v>810</v>
      </c>
      <c r="Y10" s="29">
        <v>731</v>
      </c>
      <c r="Z10" s="29">
        <v>807</v>
      </c>
      <c r="AA10" s="29">
        <v>719</v>
      </c>
      <c r="AB10" s="29">
        <v>827</v>
      </c>
      <c r="AC10" s="29">
        <v>752</v>
      </c>
      <c r="AD10" s="29">
        <v>847</v>
      </c>
      <c r="AE10" s="29">
        <v>856</v>
      </c>
      <c r="AF10" s="29">
        <v>854</v>
      </c>
      <c r="AG10" s="29">
        <f>897-3</f>
        <v>894</v>
      </c>
      <c r="AH10" s="29">
        <v>954</v>
      </c>
      <c r="AI10" s="29">
        <v>952</v>
      </c>
      <c r="AJ10" s="29">
        <v>1034</v>
      </c>
      <c r="AK10" s="29">
        <v>948</v>
      </c>
      <c r="AL10" s="29">
        <v>1154</v>
      </c>
      <c r="AM10" s="29">
        <v>1106</v>
      </c>
      <c r="AN10" s="29">
        <v>1112.0410320000001</v>
      </c>
      <c r="AO10" s="1">
        <v>1112.368172</v>
      </c>
      <c r="AP10" s="219">
        <f t="shared" si="0"/>
        <v>100.02941797924592</v>
      </c>
      <c r="AQ10" s="61" t="s">
        <v>95</v>
      </c>
    </row>
    <row r="11" spans="2:43" ht="16.5" customHeight="1" x14ac:dyDescent="0.2">
      <c r="C11" s="57">
        <v>4</v>
      </c>
      <c r="D11" s="59" t="s">
        <v>115</v>
      </c>
      <c r="E11" s="83">
        <v>95989</v>
      </c>
      <c r="F11" s="84">
        <v>130101</v>
      </c>
      <c r="G11" s="32">
        <f>123449-123449+141876-15921</f>
        <v>125955</v>
      </c>
      <c r="H11" s="85">
        <f>147518-17025</f>
        <v>130493</v>
      </c>
      <c r="I11" s="30">
        <f>152765-15702</f>
        <v>137063</v>
      </c>
      <c r="J11" s="26">
        <f>(136502-16097)*0+161986-16098</f>
        <v>145888</v>
      </c>
      <c r="K11" s="26">
        <f>162237-16008</f>
        <v>146229</v>
      </c>
      <c r="L11" s="26">
        <f>((162938-16075)*0+167399-16437)*0+167361-16437</f>
        <v>150924</v>
      </c>
      <c r="M11" s="26">
        <f>169472-16210</f>
        <v>153262</v>
      </c>
      <c r="N11" s="26">
        <v>156533</v>
      </c>
      <c r="O11" s="26">
        <f>175076-16321</f>
        <v>158755</v>
      </c>
      <c r="P11" s="26">
        <v>162545</v>
      </c>
      <c r="Q11" s="26">
        <f>179542-17017</f>
        <v>162525</v>
      </c>
      <c r="R11" s="26">
        <v>171341</v>
      </c>
      <c r="S11" s="30">
        <f>187379-16865</f>
        <v>170514</v>
      </c>
      <c r="T11" s="30">
        <v>166456</v>
      </c>
      <c r="U11" s="236">
        <f>182981-15508</f>
        <v>167473</v>
      </c>
      <c r="V11" s="30">
        <f>(171868-13757)*0+(171881-13757)*0+171851-13757</f>
        <v>158094</v>
      </c>
      <c r="W11" s="236">
        <f>175105-13954</f>
        <v>161151</v>
      </c>
      <c r="X11" s="30">
        <v>159361</v>
      </c>
      <c r="Y11" s="236">
        <f>178979-15103</f>
        <v>163876</v>
      </c>
      <c r="Z11" s="30">
        <v>158972</v>
      </c>
      <c r="AA11" s="236">
        <f>181676-14761</f>
        <v>166915</v>
      </c>
      <c r="AB11" s="30">
        <f>179941-14912</f>
        <v>165029</v>
      </c>
      <c r="AC11" s="236">
        <f>157132*0+187484-15090-517</f>
        <v>171877</v>
      </c>
      <c r="AD11" s="30">
        <v>173296</v>
      </c>
      <c r="AE11" s="229">
        <f>199049-15877-517</f>
        <v>182655</v>
      </c>
      <c r="AF11" s="229">
        <f>(202261-17142)*0+203265-17200+4</f>
        <v>186069</v>
      </c>
      <c r="AG11" s="229">
        <f>188167.108919-546.96622</f>
        <v>187620.14269899999</v>
      </c>
      <c r="AH11" s="229">
        <v>202251</v>
      </c>
      <c r="AI11" s="229">
        <f>227078-18862-568</f>
        <v>207648</v>
      </c>
      <c r="AJ11" s="236">
        <f>253718-21779-0</f>
        <v>231939</v>
      </c>
      <c r="AK11" s="229">
        <f>242823*0+232316</f>
        <v>232316</v>
      </c>
      <c r="AL11" s="229">
        <v>261088</v>
      </c>
      <c r="AM11" s="229">
        <v>259990</v>
      </c>
      <c r="AN11" s="229">
        <v>283234.251751</v>
      </c>
      <c r="AO11" s="243">
        <v>300232.16160799999</v>
      </c>
      <c r="AP11" s="238">
        <f t="shared" si="0"/>
        <v>106.00136097661783</v>
      </c>
    </row>
    <row r="12" spans="2:43" ht="38.25" x14ac:dyDescent="0.2">
      <c r="C12" s="58"/>
      <c r="D12" s="60" t="s">
        <v>122</v>
      </c>
      <c r="E12" s="3"/>
      <c r="F12" s="27"/>
      <c r="G12" s="31"/>
      <c r="H12" s="86"/>
      <c r="I12" s="31"/>
      <c r="J12" s="3"/>
      <c r="K12" s="3"/>
      <c r="L12" s="3"/>
      <c r="M12" s="3"/>
      <c r="N12" s="3"/>
      <c r="O12" s="3"/>
      <c r="P12" s="3"/>
      <c r="Q12" s="3"/>
      <c r="R12" s="3"/>
      <c r="S12" s="31"/>
      <c r="T12" s="31"/>
      <c r="U12" s="237"/>
      <c r="V12" s="31"/>
      <c r="W12" s="237"/>
      <c r="X12" s="31"/>
      <c r="Y12" s="237"/>
      <c r="Z12" s="31"/>
      <c r="AA12" s="237"/>
      <c r="AB12" s="31"/>
      <c r="AC12" s="237"/>
      <c r="AD12" s="31"/>
      <c r="AE12" s="230"/>
      <c r="AF12" s="230"/>
      <c r="AG12" s="230"/>
      <c r="AH12" s="230"/>
      <c r="AI12" s="230"/>
      <c r="AJ12" s="237"/>
      <c r="AK12" s="230"/>
      <c r="AL12" s="230"/>
      <c r="AM12" s="230"/>
      <c r="AN12" s="230"/>
      <c r="AO12" s="244"/>
      <c r="AP12" s="239" t="e">
        <f t="shared" si="0"/>
        <v>#DIV/0!</v>
      </c>
      <c r="AQ12" s="61" t="s">
        <v>96</v>
      </c>
    </row>
    <row r="13" spans="2:43" ht="38.25" customHeight="1" x14ac:dyDescent="0.2">
      <c r="C13" s="56">
        <v>5</v>
      </c>
      <c r="D13" s="87" t="s">
        <v>127</v>
      </c>
      <c r="E13" s="1">
        <v>615</v>
      </c>
      <c r="F13" s="82">
        <v>672</v>
      </c>
      <c r="G13" s="29">
        <v>772</v>
      </c>
      <c r="H13" s="2">
        <f>606+212+34+12</f>
        <v>864</v>
      </c>
      <c r="I13" s="29">
        <f>640+224</f>
        <v>864</v>
      </c>
      <c r="J13" s="1">
        <f>650+228+34+12</f>
        <v>924</v>
      </c>
      <c r="K13" s="1">
        <f>676+237+34+12</f>
        <v>959</v>
      </c>
      <c r="L13" s="1">
        <f>721+252+34+12+30</f>
        <v>1049</v>
      </c>
      <c r="M13" s="1">
        <f>746+261+34+12</f>
        <v>1053</v>
      </c>
      <c r="N13" s="1">
        <v>1060</v>
      </c>
      <c r="O13" s="1">
        <f>873+306+34+12</f>
        <v>1225</v>
      </c>
      <c r="P13" s="1">
        <v>1191</v>
      </c>
      <c r="Q13" s="1">
        <v>1245</v>
      </c>
      <c r="R13" s="1">
        <v>1217</v>
      </c>
      <c r="S13" s="29">
        <v>1276</v>
      </c>
      <c r="T13" s="29">
        <v>1204</v>
      </c>
      <c r="U13" s="29">
        <v>1331</v>
      </c>
      <c r="V13" s="29">
        <v>1304</v>
      </c>
      <c r="W13" s="29">
        <v>1348</v>
      </c>
      <c r="X13" s="29">
        <v>1348</v>
      </c>
      <c r="Y13" s="29">
        <v>1348</v>
      </c>
      <c r="Z13" s="29">
        <v>1445</v>
      </c>
      <c r="AA13" s="29">
        <v>1445</v>
      </c>
      <c r="AB13" s="29">
        <v>1445</v>
      </c>
      <c r="AC13" s="29">
        <v>1445</v>
      </c>
      <c r="AD13" s="29">
        <v>1445</v>
      </c>
      <c r="AE13" s="29">
        <v>1445</v>
      </c>
      <c r="AF13" s="29">
        <v>1373</v>
      </c>
      <c r="AG13" s="29">
        <v>1373</v>
      </c>
      <c r="AH13" s="29">
        <v>1300.278</v>
      </c>
      <c r="AI13" s="29">
        <v>1300</v>
      </c>
      <c r="AJ13" s="29">
        <v>1228</v>
      </c>
      <c r="AK13" s="29">
        <v>1228</v>
      </c>
      <c r="AL13" s="29">
        <v>1156.8</v>
      </c>
      <c r="AM13" s="29">
        <v>1155.8</v>
      </c>
      <c r="AN13" s="29">
        <v>1083.5650000000001</v>
      </c>
      <c r="AO13" s="1">
        <v>1011.327</v>
      </c>
      <c r="AP13" s="219">
        <f t="shared" si="0"/>
        <v>93.333302570681028</v>
      </c>
      <c r="AQ13" s="61" t="s">
        <v>97</v>
      </c>
    </row>
    <row r="14" spans="2:43" x14ac:dyDescent="0.2">
      <c r="C14" s="56">
        <v>6</v>
      </c>
      <c r="D14" s="15" t="s">
        <v>98</v>
      </c>
      <c r="E14" s="1"/>
      <c r="F14" s="82">
        <v>585</v>
      </c>
      <c r="G14" s="29">
        <v>1036</v>
      </c>
      <c r="H14" s="2">
        <v>1707</v>
      </c>
      <c r="I14" s="29">
        <v>1414</v>
      </c>
      <c r="J14" s="1">
        <f>3565-500-348</f>
        <v>2717</v>
      </c>
      <c r="K14" s="1">
        <v>1150</v>
      </c>
      <c r="L14" s="1">
        <f>3000-370</f>
        <v>2630</v>
      </c>
      <c r="M14" s="1">
        <v>441</v>
      </c>
      <c r="N14" s="1">
        <v>1474</v>
      </c>
      <c r="O14" s="1">
        <v>261</v>
      </c>
      <c r="P14" s="1">
        <v>867</v>
      </c>
      <c r="Q14" s="1">
        <v>228</v>
      </c>
      <c r="R14" s="1">
        <v>900</v>
      </c>
      <c r="S14" s="29">
        <v>324</v>
      </c>
      <c r="T14" s="29">
        <v>300</v>
      </c>
      <c r="U14" s="29">
        <v>255</v>
      </c>
      <c r="V14" s="29">
        <v>300</v>
      </c>
      <c r="W14" s="29">
        <v>295</v>
      </c>
      <c r="X14" s="29">
        <v>100</v>
      </c>
      <c r="Y14" s="29">
        <v>152</v>
      </c>
      <c r="Z14" s="29">
        <v>0</v>
      </c>
      <c r="AA14" s="29">
        <v>0</v>
      </c>
      <c r="AB14" s="29">
        <v>0</v>
      </c>
      <c r="AC14" s="29">
        <v>0</v>
      </c>
      <c r="AD14" s="29"/>
      <c r="AE14" s="29">
        <v>0</v>
      </c>
      <c r="AF14" s="29"/>
      <c r="AG14" s="29"/>
      <c r="AH14" s="29"/>
      <c r="AI14" s="29"/>
      <c r="AJ14" s="29"/>
      <c r="AK14" s="29"/>
      <c r="AL14" s="29"/>
      <c r="AM14" s="29"/>
      <c r="AN14" s="29"/>
      <c r="AO14" s="1"/>
      <c r="AP14" s="219"/>
    </row>
    <row r="15" spans="2:43" x14ac:dyDescent="0.2">
      <c r="C15" s="56"/>
      <c r="D15" s="15"/>
      <c r="E15" s="1"/>
      <c r="F15" s="82"/>
      <c r="G15" s="29"/>
      <c r="H15" s="2"/>
      <c r="I15" s="29"/>
      <c r="J15" s="1"/>
      <c r="K15" s="1"/>
      <c r="L15" s="1"/>
      <c r="M15" s="1"/>
      <c r="N15" s="88"/>
      <c r="O15" s="1"/>
      <c r="P15" s="1"/>
      <c r="Q15" s="88"/>
      <c r="R15" s="88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8"/>
      <c r="AP15" s="219"/>
    </row>
    <row r="16" spans="2:43" ht="13.5" thickBot="1" x14ac:dyDescent="0.25">
      <c r="B16" s="61">
        <v>2</v>
      </c>
      <c r="C16" s="56"/>
      <c r="D16" s="15"/>
      <c r="E16" s="90"/>
      <c r="F16" s="91"/>
      <c r="G16" s="92"/>
      <c r="H16" s="93"/>
      <c r="I16" s="92"/>
      <c r="J16" s="90"/>
      <c r="K16" s="90"/>
      <c r="L16" s="90"/>
      <c r="M16" s="90"/>
      <c r="N16" s="94"/>
      <c r="O16" s="90"/>
      <c r="P16" s="90"/>
      <c r="Q16" s="94"/>
      <c r="R16" s="94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4"/>
      <c r="AP16" s="220"/>
    </row>
    <row r="17" spans="3:42" ht="13.5" thickBot="1" x14ac:dyDescent="0.25">
      <c r="C17" s="214"/>
      <c r="D17" s="52"/>
      <c r="E17" s="97"/>
      <c r="F17" s="98"/>
      <c r="G17" s="96"/>
      <c r="H17" s="161"/>
      <c r="I17" s="96"/>
      <c r="J17" s="97"/>
      <c r="K17" s="97"/>
      <c r="L17" s="97"/>
      <c r="M17" s="97"/>
      <c r="N17" s="97"/>
      <c r="O17" s="97"/>
      <c r="P17" s="97"/>
      <c r="Q17" s="97"/>
      <c r="R17" s="97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7"/>
      <c r="AP17" s="221"/>
    </row>
    <row r="18" spans="3:42" ht="21" customHeight="1" thickBot="1" x14ac:dyDescent="0.25">
      <c r="C18" s="99"/>
      <c r="D18" s="100" t="s">
        <v>99</v>
      </c>
      <c r="E18" s="163">
        <f>SUM(E8:E16)</f>
        <v>141142</v>
      </c>
      <c r="F18" s="215">
        <f>SUM(F8:F16)</f>
        <v>176388</v>
      </c>
      <c r="G18" s="164">
        <f>SUM(G8:G16)</f>
        <v>175615</v>
      </c>
      <c r="H18" s="163">
        <f t="shared" ref="H18:AO18" si="1">SUM(H8:H16)</f>
        <v>184986</v>
      </c>
      <c r="I18" s="163">
        <f t="shared" si="1"/>
        <v>190776</v>
      </c>
      <c r="J18" s="163">
        <f t="shared" si="1"/>
        <v>201717</v>
      </c>
      <c r="K18" s="163">
        <f t="shared" ref="K18" si="2">SUM(K8:K16)</f>
        <v>206051</v>
      </c>
      <c r="L18" s="163">
        <f t="shared" si="1"/>
        <v>211271</v>
      </c>
      <c r="M18" s="163">
        <f t="shared" si="1"/>
        <v>217255</v>
      </c>
      <c r="N18" s="163">
        <v>212714</v>
      </c>
      <c r="O18" s="163">
        <f t="shared" si="1"/>
        <v>220081</v>
      </c>
      <c r="P18" s="163">
        <v>218258</v>
      </c>
      <c r="Q18" s="163">
        <f t="shared" si="1"/>
        <v>215752</v>
      </c>
      <c r="R18" s="163">
        <v>228060</v>
      </c>
      <c r="S18" s="164">
        <f t="shared" si="1"/>
        <v>228911</v>
      </c>
      <c r="T18" s="164">
        <v>214984</v>
      </c>
      <c r="U18" s="164">
        <f t="shared" si="1"/>
        <v>216203</v>
      </c>
      <c r="V18" s="164">
        <f t="shared" ref="V18" si="3">SUM(V8:V16)</f>
        <v>200380</v>
      </c>
      <c r="W18" s="164">
        <f t="shared" si="1"/>
        <v>204432</v>
      </c>
      <c r="X18" s="164">
        <v>201488</v>
      </c>
      <c r="Y18" s="164">
        <f t="shared" si="1"/>
        <v>203537</v>
      </c>
      <c r="Z18" s="164">
        <v>199378</v>
      </c>
      <c r="AA18" s="164">
        <f t="shared" si="1"/>
        <v>205292</v>
      </c>
      <c r="AB18" s="164">
        <f t="shared" si="1"/>
        <v>205242</v>
      </c>
      <c r="AC18" s="164">
        <f>SUM(AC8:AC16)</f>
        <v>209815</v>
      </c>
      <c r="AD18" s="164">
        <f t="shared" ref="AD18:AM18" si="4">SUM(AD8:AD16)</f>
        <v>215374</v>
      </c>
      <c r="AE18" s="164">
        <f t="shared" si="4"/>
        <v>227576</v>
      </c>
      <c r="AF18" s="164">
        <f t="shared" si="4"/>
        <v>231468</v>
      </c>
      <c r="AG18" s="164">
        <f t="shared" si="4"/>
        <v>230866.14269899999</v>
      </c>
      <c r="AH18" s="164">
        <f t="shared" si="4"/>
        <v>252109.14199999999</v>
      </c>
      <c r="AI18" s="164">
        <f t="shared" si="4"/>
        <v>258334</v>
      </c>
      <c r="AJ18" s="164">
        <f t="shared" si="4"/>
        <v>286602</v>
      </c>
      <c r="AK18" s="164">
        <f t="shared" si="4"/>
        <v>289131</v>
      </c>
      <c r="AL18" s="164">
        <f t="shared" si="4"/>
        <v>323118.60099999997</v>
      </c>
      <c r="AM18" s="164">
        <f t="shared" si="4"/>
        <v>324749.8</v>
      </c>
      <c r="AN18" s="199">
        <f>SUM(AN8:AN16)</f>
        <v>363352.74348300003</v>
      </c>
      <c r="AO18" s="164">
        <f t="shared" si="1"/>
        <v>380066.75363699999</v>
      </c>
      <c r="AP18" s="222">
        <f t="shared" si="0"/>
        <v>104.59994054091459</v>
      </c>
    </row>
    <row r="19" spans="3:42" ht="13.5" thickTop="1" x14ac:dyDescent="0.2">
      <c r="D19" s="17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2"/>
    </row>
    <row r="20" spans="3:42" x14ac:dyDescent="0.2">
      <c r="D20" s="103" t="s">
        <v>30</v>
      </c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</row>
    <row r="21" spans="3:42" x14ac:dyDescent="0.2">
      <c r="D21" s="103" t="s">
        <v>100</v>
      </c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</row>
    <row r="22" spans="3:42" x14ac:dyDescent="0.2">
      <c r="D22" s="103" t="s">
        <v>101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</row>
    <row r="23" spans="3:42" x14ac:dyDescent="0.2">
      <c r="D23" s="103" t="s">
        <v>102</v>
      </c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</row>
    <row r="24" spans="3:42" x14ac:dyDescent="0.2">
      <c r="D24" s="103" t="s">
        <v>103</v>
      </c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</row>
    <row r="25" spans="3:42" x14ac:dyDescent="0.2">
      <c r="D25" s="103" t="s">
        <v>104</v>
      </c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</row>
    <row r="26" spans="3:42" x14ac:dyDescent="0.2">
      <c r="D26" s="103" t="s">
        <v>105</v>
      </c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</row>
    <row r="27" spans="3:42" x14ac:dyDescent="0.2">
      <c r="D27" s="103" t="s">
        <v>106</v>
      </c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</row>
    <row r="28" spans="3:42" x14ac:dyDescent="0.2">
      <c r="D28" s="103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</row>
    <row r="29" spans="3:42" x14ac:dyDescent="0.2">
      <c r="D29" s="105" t="s">
        <v>31</v>
      </c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235"/>
      <c r="AO29" s="235"/>
    </row>
    <row r="30" spans="3:42" x14ac:dyDescent="0.2">
      <c r="D30" s="107" t="s">
        <v>66</v>
      </c>
      <c r="E30" s="174">
        <f>MV_tab!D75</f>
        <v>2189.1999999999998</v>
      </c>
      <c r="F30" s="174">
        <f>MV_tab!E75</f>
        <v>2352.1999999999998</v>
      </c>
      <c r="G30" s="174">
        <f>MV_tab!F75</f>
        <v>2464.4</v>
      </c>
      <c r="H30" s="174">
        <f>MV_tab!G75</f>
        <v>2577.1</v>
      </c>
      <c r="I30" s="174">
        <f>MV_tab!H75</f>
        <v>2814.8</v>
      </c>
      <c r="J30" s="174">
        <f>MV_tab!I75</f>
        <v>2907</v>
      </c>
      <c r="K30" s="174">
        <f>MV_tab!J75</f>
        <v>2984</v>
      </c>
      <c r="L30" s="174">
        <f>MV_tab!K75</f>
        <v>3202</v>
      </c>
      <c r="M30" s="174">
        <f>MV_tab!L75</f>
        <v>3353</v>
      </c>
      <c r="N30" s="174">
        <f>MV_tab!M75</f>
        <v>3516</v>
      </c>
      <c r="O30" s="174">
        <f>MV_tab!N75</f>
        <v>3663</v>
      </c>
      <c r="P30" s="174">
        <f>MV_tab!O75</f>
        <v>3827</v>
      </c>
      <c r="Q30" s="174">
        <f>MV_tab!P75</f>
        <v>3848</v>
      </c>
      <c r="R30" s="174">
        <f>MV_tab!Q75</f>
        <v>3634</v>
      </c>
      <c r="S30" s="174">
        <f>MV_tab!R75</f>
        <v>3759</v>
      </c>
      <c r="T30" s="174">
        <f>MV_tab!S75</f>
        <v>3678</v>
      </c>
      <c r="U30" s="174">
        <f>MV_tab!T75</f>
        <v>3954</v>
      </c>
      <c r="V30" s="174">
        <f>MV_tab!U75</f>
        <v>3729</v>
      </c>
      <c r="W30" s="174">
        <f>MV_tab!V75</f>
        <v>4023</v>
      </c>
      <c r="X30" s="174">
        <f>MV_tab!W75</f>
        <v>3729</v>
      </c>
      <c r="Y30" s="174">
        <f>MV_tab!X75</f>
        <v>4060</v>
      </c>
      <c r="Z30" s="174">
        <f>MV_tab!Y75</f>
        <v>3796</v>
      </c>
      <c r="AA30" s="174">
        <f>MV_tab!Z75</f>
        <v>4098</v>
      </c>
      <c r="AB30" s="174">
        <f>MV_tab!AA75</f>
        <v>3974</v>
      </c>
      <c r="AC30" s="174">
        <f>MV_tab!AB75</f>
        <v>4346</v>
      </c>
      <c r="AD30" s="174">
        <f>MV_tab!AC75</f>
        <v>4467</v>
      </c>
      <c r="AE30" s="174">
        <f>MV_tab!AD75</f>
        <v>4625</v>
      </c>
      <c r="AF30" s="174">
        <f>MV_tab!AE75</f>
        <v>4647</v>
      </c>
      <c r="AG30" s="174">
        <f>MV_tab!AF75</f>
        <v>4797</v>
      </c>
      <c r="AH30" s="174">
        <f>MV_tab!AG75</f>
        <v>5040</v>
      </c>
      <c r="AI30" s="174">
        <f>MV_tab!AH75</f>
        <v>5111</v>
      </c>
      <c r="AJ30" s="174">
        <f>MV_tab!AJ75</f>
        <v>5409</v>
      </c>
      <c r="AK30" s="174">
        <f>MV_tab!AJ75</f>
        <v>5409</v>
      </c>
      <c r="AL30" s="174">
        <f>MV_tab!AL75</f>
        <v>5749</v>
      </c>
      <c r="AM30" s="174">
        <f>MV_tab!AL75</f>
        <v>5749</v>
      </c>
      <c r="AN30" s="174">
        <f>MV_tab!AM75</f>
        <v>5561</v>
      </c>
      <c r="AO30" s="174">
        <f>MV_tab!AN75</f>
        <v>5860</v>
      </c>
    </row>
    <row r="31" spans="3:42" x14ac:dyDescent="0.2">
      <c r="D31" s="18" t="s">
        <v>107</v>
      </c>
      <c r="E31" s="8">
        <f>E18/(E$30*1000)*100</f>
        <v>6.4471953224922345</v>
      </c>
      <c r="F31" s="9">
        <f t="shared" ref="F31:AO31" si="5">F18/(F$30*1000)*100</f>
        <v>7.4988521384236035</v>
      </c>
      <c r="G31" s="9">
        <f t="shared" si="5"/>
        <v>7.1260753124492773</v>
      </c>
      <c r="H31" s="8">
        <f t="shared" si="5"/>
        <v>7.1780683714252458</v>
      </c>
      <c r="I31" s="8">
        <f t="shared" si="5"/>
        <v>6.7776040926531191</v>
      </c>
      <c r="J31" s="8">
        <f t="shared" si="5"/>
        <v>6.9390092879256962</v>
      </c>
      <c r="K31" s="8">
        <f t="shared" ref="K31" si="6">K18/(K$30*1000)*100</f>
        <v>6.9051943699731906</v>
      </c>
      <c r="L31" s="8">
        <f t="shared" si="5"/>
        <v>6.5980949406620857</v>
      </c>
      <c r="M31" s="8">
        <f t="shared" si="5"/>
        <v>6.4794214136594102</v>
      </c>
      <c r="N31" s="8">
        <f t="shared" si="5"/>
        <v>6.0498862343572242</v>
      </c>
      <c r="O31" s="8">
        <f t="shared" si="5"/>
        <v>6.0082173082173087</v>
      </c>
      <c r="P31" s="8">
        <f t="shared" si="5"/>
        <v>5.7031094852364772</v>
      </c>
      <c r="Q31" s="8">
        <f t="shared" si="5"/>
        <v>5.606860706860707</v>
      </c>
      <c r="R31" s="8">
        <f t="shared" si="5"/>
        <v>6.2757292239955982</v>
      </c>
      <c r="S31" s="8">
        <f t="shared" si="5"/>
        <v>6.0896781058792229</v>
      </c>
      <c r="T31" s="8">
        <f t="shared" si="5"/>
        <v>5.8451332245785759</v>
      </c>
      <c r="U31" s="8">
        <f t="shared" si="5"/>
        <v>5.4679564997470917</v>
      </c>
      <c r="V31" s="8">
        <f t="shared" ref="V31" si="7">V18/(V$30*1000)*100</f>
        <v>5.3735585947975322</v>
      </c>
      <c r="W31" s="8">
        <f t="shared" si="5"/>
        <v>5.0815809097688289</v>
      </c>
      <c r="X31" s="8">
        <f t="shared" si="5"/>
        <v>5.403271654599088</v>
      </c>
      <c r="Y31" s="8">
        <f t="shared" si="5"/>
        <v>5.013226600985222</v>
      </c>
      <c r="Z31" s="8">
        <f t="shared" si="5"/>
        <v>5.25231822971549</v>
      </c>
      <c r="AA31" s="8">
        <f t="shared" si="5"/>
        <v>5.0095656417764767</v>
      </c>
      <c r="AB31" s="8">
        <f t="shared" si="5"/>
        <v>5.1646200301962759</v>
      </c>
      <c r="AC31" s="8">
        <f t="shared" si="5"/>
        <v>4.8277726645190979</v>
      </c>
      <c r="AD31" s="8">
        <f t="shared" ref="AD31" si="8">AD18/(AD$30*1000)*100</f>
        <v>4.8214461607342738</v>
      </c>
      <c r="AE31" s="8">
        <f t="shared" si="5"/>
        <v>4.9205621621621622</v>
      </c>
      <c r="AF31" s="8">
        <f t="shared" si="5"/>
        <v>4.9810200129115554</v>
      </c>
      <c r="AG31" s="8">
        <f t="shared" si="5"/>
        <v>4.8127192557640193</v>
      </c>
      <c r="AH31" s="8">
        <f t="shared" si="5"/>
        <v>5.0021655158730161</v>
      </c>
      <c r="AI31" s="8">
        <f t="shared" si="5"/>
        <v>5.0544707493641168</v>
      </c>
      <c r="AJ31" s="8">
        <f t="shared" si="5"/>
        <v>5.2986134220743208</v>
      </c>
      <c r="AK31" s="8">
        <f t="shared" si="5"/>
        <v>5.3453688297282307</v>
      </c>
      <c r="AL31" s="8">
        <f t="shared" si="5"/>
        <v>5.620431396764654</v>
      </c>
      <c r="AM31" s="8">
        <f t="shared" si="5"/>
        <v>5.6488050095668809</v>
      </c>
      <c r="AN31" s="8">
        <f t="shared" si="5"/>
        <v>6.5339461155008092</v>
      </c>
      <c r="AO31" s="8">
        <f t="shared" si="5"/>
        <v>6.4857807787883957</v>
      </c>
    </row>
    <row r="32" spans="3:42" x14ac:dyDescent="0.2">
      <c r="D32" s="18"/>
      <c r="E32" s="108"/>
      <c r="F32" s="109"/>
      <c r="G32" s="109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</row>
    <row r="33" spans="4:41" x14ac:dyDescent="0.2">
      <c r="D33" s="19" t="s">
        <v>52</v>
      </c>
      <c r="E33" s="178">
        <f>MV_tab!D81</f>
        <v>632268</v>
      </c>
      <c r="F33" s="178">
        <f>MV_tab!E81</f>
        <v>693920</v>
      </c>
      <c r="G33" s="178">
        <f>MV_tab!F81</f>
        <v>750682</v>
      </c>
      <c r="H33" s="178">
        <f>MV_tab!G81</f>
        <v>808718</v>
      </c>
      <c r="I33" s="178">
        <f>MV_tab!H81</f>
        <v>862892</v>
      </c>
      <c r="J33" s="178">
        <f>MV_tab!I81</f>
        <v>908416</v>
      </c>
      <c r="K33" s="178">
        <f>MV_tab!J81</f>
        <v>922798</v>
      </c>
      <c r="L33" s="178">
        <f>MV_tab!K81</f>
        <v>958792</v>
      </c>
      <c r="M33" s="178">
        <f>MV_tab!L81</f>
        <v>1020640</v>
      </c>
      <c r="N33" s="178">
        <f>MV_tab!M81</f>
        <v>1040777</v>
      </c>
      <c r="O33" s="178">
        <f>MV_tab!N81</f>
        <v>1092275</v>
      </c>
      <c r="P33" s="178">
        <f>MV_tab!O81</f>
        <v>1107311</v>
      </c>
      <c r="Q33" s="178">
        <f>MV_tab!P81</f>
        <v>1083944</v>
      </c>
      <c r="R33" s="178">
        <f>MV_tab!Q81</f>
        <v>1152102</v>
      </c>
      <c r="S33" s="178">
        <f>MV_tab!R81</f>
        <v>1167009</v>
      </c>
      <c r="T33" s="178">
        <f>MV_tab!S81</f>
        <v>1184919</v>
      </c>
      <c r="U33" s="178">
        <f>MV_tab!T81</f>
        <v>1156793</v>
      </c>
      <c r="V33" s="178">
        <f>MV_tab!U81</f>
        <v>1190701</v>
      </c>
      <c r="W33" s="178">
        <f>MV_tab!V81</f>
        <v>1155526</v>
      </c>
      <c r="X33" s="178">
        <f>MV_tab!W81</f>
        <v>1189701</v>
      </c>
      <c r="Y33" s="178">
        <f>MV_tab!X81</f>
        <v>1152387</v>
      </c>
      <c r="Z33" s="178">
        <f>MV_tab!Y81</f>
        <v>1176368</v>
      </c>
      <c r="AA33" s="178">
        <f>MV_tab!Z81</f>
        <v>1173128</v>
      </c>
      <c r="AB33" s="178">
        <f>MV_tab!AA81</f>
        <v>1210237</v>
      </c>
      <c r="AC33" s="178">
        <f>MV_tab!AB81</f>
        <v>1211608</v>
      </c>
      <c r="AD33" s="178">
        <f>MV_tab!AC81</f>
        <v>1218455</v>
      </c>
      <c r="AE33" s="178">
        <f>MV_tab!AD81</f>
        <v>1297322</v>
      </c>
      <c r="AF33" s="178">
        <f>MV_tab!AE81</f>
        <v>1250857</v>
      </c>
      <c r="AG33" s="178">
        <f>MV_tab!AF81</f>
        <v>1219844</v>
      </c>
      <c r="AH33" s="178">
        <f>MV_tab!AG81</f>
        <v>1309272</v>
      </c>
      <c r="AI33" s="178">
        <f>MV_tab!AH81</f>
        <v>1279796</v>
      </c>
      <c r="AJ33" s="178">
        <f>MV_tab!AI81</f>
        <v>1364498</v>
      </c>
      <c r="AK33" s="178">
        <f>MV_tab!AJ81</f>
        <v>1400974</v>
      </c>
      <c r="AL33" s="178">
        <f>MV_tab!AK81</f>
        <v>1505359</v>
      </c>
      <c r="AM33" s="178">
        <f>MV_tab!AL81</f>
        <v>1551738</v>
      </c>
      <c r="AN33" s="178">
        <f>MV_tab!AM81</f>
        <v>1864818.7237529999</v>
      </c>
      <c r="AO33" s="178">
        <f>MV_tab!AN81</f>
        <v>1808336</v>
      </c>
    </row>
    <row r="34" spans="4:41" x14ac:dyDescent="0.2">
      <c r="D34" s="18" t="s">
        <v>108</v>
      </c>
      <c r="E34" s="8">
        <f>E18/E$33*100</f>
        <v>22.323128799812739</v>
      </c>
      <c r="F34" s="9">
        <f t="shared" ref="F34:AO34" si="9">F18/F$33*100</f>
        <v>25.419068480516486</v>
      </c>
      <c r="G34" s="9">
        <f t="shared" si="9"/>
        <v>23.394060334469188</v>
      </c>
      <c r="H34" s="8">
        <f t="shared" si="9"/>
        <v>22.87398079429418</v>
      </c>
      <c r="I34" s="8">
        <f t="shared" si="9"/>
        <v>22.108908183179356</v>
      </c>
      <c r="J34" s="8">
        <f t="shared" si="9"/>
        <v>22.205355255741864</v>
      </c>
      <c r="K34" s="8">
        <f t="shared" ref="K34" si="10">K18/K$33*100</f>
        <v>22.328938727652208</v>
      </c>
      <c r="L34" s="8">
        <f t="shared" si="9"/>
        <v>22.03512336356582</v>
      </c>
      <c r="M34" s="8">
        <f t="shared" si="9"/>
        <v>21.286153785859852</v>
      </c>
      <c r="N34" s="8">
        <f t="shared" si="9"/>
        <v>20.437999686772478</v>
      </c>
      <c r="O34" s="8">
        <f t="shared" si="9"/>
        <v>20.148863610354535</v>
      </c>
      <c r="P34" s="8">
        <f t="shared" si="9"/>
        <v>19.710632333644295</v>
      </c>
      <c r="Q34" s="8">
        <f t="shared" si="9"/>
        <v>19.904349302177973</v>
      </c>
      <c r="R34" s="8">
        <f t="shared" si="9"/>
        <v>19.79512230687908</v>
      </c>
      <c r="S34" s="8">
        <f t="shared" si="9"/>
        <v>19.615187200784227</v>
      </c>
      <c r="T34" s="8">
        <f t="shared" si="9"/>
        <v>18.143349882987785</v>
      </c>
      <c r="U34" s="8">
        <f t="shared" si="9"/>
        <v>18.689860675159686</v>
      </c>
      <c r="V34" s="8">
        <f t="shared" ref="V34" si="11">V18/V$33*100</f>
        <v>16.828742060349324</v>
      </c>
      <c r="W34" s="8">
        <f t="shared" si="9"/>
        <v>17.69168326805282</v>
      </c>
      <c r="X34" s="8">
        <f t="shared" si="9"/>
        <v>16.936020058821502</v>
      </c>
      <c r="Y34" s="8">
        <f t="shared" si="9"/>
        <v>17.662208962787673</v>
      </c>
      <c r="Z34" s="8">
        <f t="shared" si="9"/>
        <v>16.948607918610502</v>
      </c>
      <c r="AA34" s="8">
        <f t="shared" si="9"/>
        <v>17.499539692173403</v>
      </c>
      <c r="AB34" s="8">
        <f t="shared" si="9"/>
        <v>16.958827072713856</v>
      </c>
      <c r="AC34" s="8">
        <f t="shared" si="9"/>
        <v>17.317069547246305</v>
      </c>
      <c r="AD34" s="8">
        <f t="shared" ref="AD34:AF34" si="12">AD18/AD$33*100</f>
        <v>17.675991316872597</v>
      </c>
      <c r="AE34" s="8">
        <f t="shared" si="12"/>
        <v>17.541982638080601</v>
      </c>
      <c r="AF34" s="8">
        <f t="shared" si="12"/>
        <v>18.504753141246361</v>
      </c>
      <c r="AG34" s="8">
        <v>18.798961178642514</v>
      </c>
      <c r="AH34" s="8">
        <f t="shared" si="9"/>
        <v>19.255673534605492</v>
      </c>
      <c r="AI34" s="8">
        <f t="shared" ref="AI34:AM34" si="13">AI18/AI$33*100</f>
        <v>20.185560823756283</v>
      </c>
      <c r="AJ34" s="8">
        <f t="shared" si="13"/>
        <v>21.004208141015962</v>
      </c>
      <c r="AK34" s="8">
        <f t="shared" si="13"/>
        <v>20.637856234305563</v>
      </c>
      <c r="AL34" s="8">
        <f t="shared" si="13"/>
        <v>21.464554368758545</v>
      </c>
      <c r="AM34" s="8">
        <f t="shared" si="13"/>
        <v>20.928133486451962</v>
      </c>
      <c r="AN34" s="8">
        <f t="shared" si="9"/>
        <v>19.484614716423611</v>
      </c>
      <c r="AO34" s="8">
        <f t="shared" si="9"/>
        <v>21.017485336629917</v>
      </c>
    </row>
    <row r="35" spans="4:41" x14ac:dyDescent="0.2">
      <c r="D35" s="22"/>
      <c r="E35" s="108"/>
      <c r="F35" s="109"/>
      <c r="G35" s="109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</row>
    <row r="36" spans="4:41" x14ac:dyDescent="0.2">
      <c r="D36" s="21" t="s">
        <v>53</v>
      </c>
      <c r="E36" s="178">
        <f>MV_tab!D87</f>
        <v>586207</v>
      </c>
      <c r="F36" s="178">
        <f>MV_tab!E87</f>
        <v>626216</v>
      </c>
      <c r="G36" s="178">
        <f>MV_tab!F87</f>
        <v>704967</v>
      </c>
      <c r="H36" s="178">
        <f>MV_tab!G87</f>
        <v>699665</v>
      </c>
      <c r="I36" s="178">
        <f>MV_tab!H87</f>
        <v>769207</v>
      </c>
      <c r="J36" s="178">
        <f>MV_tab!I87</f>
        <v>824831</v>
      </c>
      <c r="K36" s="178">
        <f>MV_tab!J87</f>
        <v>866460</v>
      </c>
      <c r="L36" s="178">
        <f>MV_tab!K87</f>
        <v>884392</v>
      </c>
      <c r="M36" s="178">
        <f>MV_tab!L87</f>
        <v>923060</v>
      </c>
      <c r="N36" s="178">
        <f>MV_tab!M87</f>
        <v>949477</v>
      </c>
      <c r="O36" s="178">
        <f>MV_tab!N87</f>
        <v>1025883</v>
      </c>
      <c r="P36" s="178">
        <f>MV_tab!O87</f>
        <v>1036511</v>
      </c>
      <c r="Q36" s="178">
        <f>MV_tab!P87</f>
        <v>1063941</v>
      </c>
      <c r="R36" s="178">
        <f>MV_tab!Q87</f>
        <v>1114002</v>
      </c>
      <c r="S36" s="178">
        <f>MV_tab!R87</f>
        <v>974615</v>
      </c>
      <c r="T36" s="178">
        <f>MV_tab!S87</f>
        <v>1022219</v>
      </c>
      <c r="U36" s="178">
        <f>MV_tab!T87</f>
        <v>1000377</v>
      </c>
      <c r="V36" s="178">
        <f>MV_tab!U87</f>
        <v>1055701</v>
      </c>
      <c r="W36" s="178">
        <f>MV_tab!V87</f>
        <v>1012755</v>
      </c>
      <c r="X36" s="178">
        <f>MV_tab!W87</f>
        <v>1084701</v>
      </c>
      <c r="Y36" s="178">
        <f>MV_tab!X87</f>
        <v>1051387</v>
      </c>
      <c r="Z36" s="178">
        <f>MV_tab!Y87</f>
        <v>1076368</v>
      </c>
      <c r="AA36" s="178">
        <f>MV_tab!Z87</f>
        <v>1091863</v>
      </c>
      <c r="AB36" s="178">
        <f>MV_tab!AA87</f>
        <v>1098237</v>
      </c>
      <c r="AC36" s="178">
        <f>MV_tab!AB87</f>
        <v>1133826</v>
      </c>
      <c r="AD36" s="178">
        <f>MV_tab!AC87</f>
        <v>1118455</v>
      </c>
      <c r="AE36" s="178">
        <f>MV_tab!AD87</f>
        <v>1234517</v>
      </c>
      <c r="AF36" s="178">
        <f>MV_tab!AE87</f>
        <v>1180857</v>
      </c>
      <c r="AG36" s="178">
        <f>MV_tab!AF87</f>
        <v>1281618</v>
      </c>
      <c r="AH36" s="178">
        <f>MV_tab!AG87</f>
        <v>1249272</v>
      </c>
      <c r="AI36" s="178">
        <f>MV_tab!AH87</f>
        <v>1273644</v>
      </c>
      <c r="AJ36" s="178">
        <f>MV_tab!AI87</f>
        <v>1314498</v>
      </c>
      <c r="AK36" s="178">
        <f>MV_tab!AJ87</f>
        <v>1403918</v>
      </c>
      <c r="AL36" s="178">
        <f>MV_tab!AK87</f>
        <v>1465359</v>
      </c>
      <c r="AM36" s="178">
        <f>MV_tab!AL87</f>
        <v>1523222</v>
      </c>
      <c r="AN36" s="178">
        <f>MV_tab!AM87</f>
        <v>1364818.7237529999</v>
      </c>
      <c r="AO36" s="178">
        <f>MV_tab!AN87</f>
        <v>1488336</v>
      </c>
    </row>
    <row r="37" spans="4:41" x14ac:dyDescent="0.2">
      <c r="D37" s="18" t="s">
        <v>109</v>
      </c>
      <c r="E37" s="8">
        <f>E18/E$36*100</f>
        <v>24.077160456971683</v>
      </c>
      <c r="F37" s="9">
        <f t="shared" ref="F37:AO37" si="14">F18/F$36*100</f>
        <v>28.167277744420456</v>
      </c>
      <c r="G37" s="9">
        <f t="shared" si="14"/>
        <v>24.911095129275555</v>
      </c>
      <c r="H37" s="8">
        <f t="shared" si="14"/>
        <v>26.439224486004015</v>
      </c>
      <c r="I37" s="8">
        <f t="shared" si="14"/>
        <v>24.801646370872859</v>
      </c>
      <c r="J37" s="8">
        <f t="shared" si="14"/>
        <v>24.455555137961593</v>
      </c>
      <c r="K37" s="8">
        <f t="shared" ref="K37" si="15">K18/K$36*100</f>
        <v>23.780786187475474</v>
      </c>
      <c r="L37" s="8">
        <f t="shared" si="14"/>
        <v>23.888841147364516</v>
      </c>
      <c r="M37" s="8">
        <f t="shared" si="14"/>
        <v>23.536389833813619</v>
      </c>
      <c r="N37" s="8">
        <f t="shared" si="14"/>
        <v>22.403280964151843</v>
      </c>
      <c r="O37" s="8">
        <f t="shared" si="14"/>
        <v>21.452836239610171</v>
      </c>
      <c r="P37" s="8">
        <f t="shared" si="14"/>
        <v>21.056988300172407</v>
      </c>
      <c r="Q37" s="8">
        <f t="shared" si="14"/>
        <v>20.278568078493077</v>
      </c>
      <c r="R37" s="8">
        <f t="shared" si="14"/>
        <v>20.472135597602158</v>
      </c>
      <c r="S37" s="8">
        <f t="shared" si="14"/>
        <v>23.487325764532663</v>
      </c>
      <c r="T37" s="8">
        <f t="shared" si="14"/>
        <v>21.031109771976457</v>
      </c>
      <c r="U37" s="8">
        <f t="shared" si="14"/>
        <v>21.612152218613584</v>
      </c>
      <c r="V37" s="8">
        <f t="shared" ref="V37" si="16">V18/V$36*100</f>
        <v>18.980753073076563</v>
      </c>
      <c r="W37" s="8">
        <f t="shared" si="14"/>
        <v>20.185731001081209</v>
      </c>
      <c r="X37" s="8">
        <f t="shared" si="14"/>
        <v>18.575441527204269</v>
      </c>
      <c r="Y37" s="8">
        <f t="shared" si="14"/>
        <v>19.358904000144573</v>
      </c>
      <c r="Z37" s="8">
        <f t="shared" si="14"/>
        <v>18.523218824788547</v>
      </c>
      <c r="AA37" s="8">
        <f t="shared" si="14"/>
        <v>18.80199255767436</v>
      </c>
      <c r="AB37" s="8">
        <f t="shared" si="14"/>
        <v>18.688315909953861</v>
      </c>
      <c r="AC37" s="8">
        <f t="shared" si="14"/>
        <v>18.50504398382115</v>
      </c>
      <c r="AD37" s="8">
        <f t="shared" ref="AD37:AF37" si="17">AD18/AD$36*100</f>
        <v>19.25638492384584</v>
      </c>
      <c r="AE37" s="8">
        <f t="shared" si="17"/>
        <v>18.43441605097378</v>
      </c>
      <c r="AF37" s="8">
        <f t="shared" si="17"/>
        <v>19.601696056338742</v>
      </c>
      <c r="AG37" s="8">
        <v>17.892851067946925</v>
      </c>
      <c r="AH37" s="8">
        <f t="shared" si="14"/>
        <v>20.180484474157748</v>
      </c>
      <c r="AI37" s="8">
        <f t="shared" ref="AI37:AM37" si="18">AI18/AI$36*100</f>
        <v>20.283061828894102</v>
      </c>
      <c r="AJ37" s="8">
        <f t="shared" si="18"/>
        <v>21.803152229976767</v>
      </c>
      <c r="AK37" s="8">
        <f t="shared" si="18"/>
        <v>20.594578885661413</v>
      </c>
      <c r="AL37" s="8">
        <f t="shared" si="18"/>
        <v>22.050473706443267</v>
      </c>
      <c r="AM37" s="8">
        <f t="shared" si="18"/>
        <v>21.319925788886977</v>
      </c>
      <c r="AN37" s="8">
        <f t="shared" si="14"/>
        <v>26.622784195387279</v>
      </c>
      <c r="AO37" s="8">
        <f t="shared" si="14"/>
        <v>25.5363542665769</v>
      </c>
    </row>
    <row r="38" spans="4:41" x14ac:dyDescent="0.2">
      <c r="D38" s="103" t="str">
        <f>MV_tab!C92</f>
        <v xml:space="preserve">*) HDP podle makroekonomické predikce </v>
      </c>
    </row>
    <row r="39" spans="4:41" hidden="1" x14ac:dyDescent="0.2"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</row>
    <row r="40" spans="4:41" ht="13.5" hidden="1" thickTop="1" x14ac:dyDescent="0.2">
      <c r="E40" s="66">
        <v>2000</v>
      </c>
      <c r="F40" s="111">
        <v>2001</v>
      </c>
      <c r="G40" s="111">
        <v>2002</v>
      </c>
      <c r="H40" s="68">
        <v>2003</v>
      </c>
      <c r="I40" s="68">
        <v>2004</v>
      </c>
      <c r="J40" s="66">
        <v>2005</v>
      </c>
      <c r="K40" s="68">
        <v>2005</v>
      </c>
      <c r="L40" s="66">
        <v>2006</v>
      </c>
      <c r="M40" s="66">
        <v>2006</v>
      </c>
      <c r="N40" s="66">
        <v>2007</v>
      </c>
      <c r="O40" s="66">
        <v>2007</v>
      </c>
      <c r="P40" s="66">
        <v>2008</v>
      </c>
      <c r="Q40" s="66">
        <v>2008</v>
      </c>
      <c r="R40" s="69">
        <v>2009</v>
      </c>
      <c r="S40" s="66">
        <v>2009</v>
      </c>
      <c r="T40" s="66">
        <v>2010</v>
      </c>
      <c r="U40" s="66">
        <v>2010</v>
      </c>
      <c r="V40" s="69">
        <v>2011</v>
      </c>
      <c r="W40" s="66">
        <v>2011</v>
      </c>
      <c r="X40" s="69">
        <v>2012</v>
      </c>
      <c r="Y40" s="66">
        <v>2012</v>
      </c>
      <c r="Z40" s="66">
        <v>2013</v>
      </c>
      <c r="AA40" s="66">
        <v>2013</v>
      </c>
      <c r="AB40" s="69">
        <v>2014</v>
      </c>
      <c r="AC40" s="69">
        <v>2014</v>
      </c>
      <c r="AD40" s="69"/>
      <c r="AE40" s="69"/>
      <c r="AF40" s="69"/>
      <c r="AG40" s="69">
        <v>2015</v>
      </c>
      <c r="AH40" s="69"/>
      <c r="AI40" s="69"/>
      <c r="AJ40" s="69"/>
      <c r="AK40" s="69"/>
      <c r="AL40" s="69"/>
      <c r="AM40" s="69"/>
      <c r="AN40" s="69">
        <v>2015</v>
      </c>
      <c r="AO40" s="69">
        <v>2016</v>
      </c>
    </row>
    <row r="41" spans="4:41" hidden="1" x14ac:dyDescent="0.2">
      <c r="D41" s="20"/>
      <c r="E41" s="112" t="s">
        <v>2</v>
      </c>
      <c r="F41" s="113" t="s">
        <v>2</v>
      </c>
      <c r="G41" s="114" t="s">
        <v>2</v>
      </c>
      <c r="H41" s="115" t="s">
        <v>2</v>
      </c>
      <c r="I41" s="115" t="s">
        <v>2</v>
      </c>
      <c r="J41" s="116" t="s">
        <v>3</v>
      </c>
      <c r="K41" s="115" t="s">
        <v>2</v>
      </c>
      <c r="L41" s="116" t="s">
        <v>3</v>
      </c>
      <c r="M41" s="116" t="s">
        <v>2</v>
      </c>
      <c r="N41" s="116" t="s">
        <v>3</v>
      </c>
      <c r="O41" s="116" t="s">
        <v>2</v>
      </c>
      <c r="P41" s="116" t="s">
        <v>3</v>
      </c>
      <c r="Q41" s="116" t="s">
        <v>2</v>
      </c>
      <c r="R41" s="117" t="s">
        <v>3</v>
      </c>
      <c r="S41" s="116" t="s">
        <v>2</v>
      </c>
      <c r="T41" s="116" t="s">
        <v>3</v>
      </c>
      <c r="U41" s="116" t="s">
        <v>84</v>
      </c>
      <c r="V41" s="117" t="s">
        <v>3</v>
      </c>
      <c r="W41" s="116" t="s">
        <v>84</v>
      </c>
      <c r="X41" s="117" t="s">
        <v>3</v>
      </c>
      <c r="Y41" s="116" t="s">
        <v>84</v>
      </c>
      <c r="Z41" s="116" t="s">
        <v>3</v>
      </c>
      <c r="AA41" s="116" t="s">
        <v>84</v>
      </c>
      <c r="AB41" s="112" t="s">
        <v>3</v>
      </c>
      <c r="AC41" s="116" t="s">
        <v>84</v>
      </c>
      <c r="AD41" s="116"/>
      <c r="AE41" s="116"/>
      <c r="AF41" s="116"/>
      <c r="AG41" s="116" t="s">
        <v>3</v>
      </c>
      <c r="AH41" s="116"/>
      <c r="AI41" s="116"/>
      <c r="AJ41" s="116"/>
      <c r="AK41" s="116"/>
      <c r="AL41" s="116"/>
      <c r="AM41" s="116"/>
      <c r="AN41" s="112" t="s">
        <v>3</v>
      </c>
      <c r="AO41" s="117" t="s">
        <v>74</v>
      </c>
    </row>
    <row r="42" spans="4:41" hidden="1" x14ac:dyDescent="0.2">
      <c r="D42" s="20"/>
      <c r="E42" s="118"/>
      <c r="F42" s="119"/>
      <c r="G42" s="119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20"/>
      <c r="S42" s="118"/>
      <c r="T42" s="118"/>
      <c r="U42" s="118"/>
      <c r="V42" s="118"/>
      <c r="W42" s="118"/>
      <c r="X42" s="118"/>
      <c r="Y42" s="118"/>
      <c r="Z42" s="118"/>
      <c r="AA42" s="118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</row>
    <row r="43" spans="4:41" ht="13.5" hidden="1" thickBot="1" x14ac:dyDescent="0.25">
      <c r="E43" s="75">
        <v>1</v>
      </c>
      <c r="F43" s="121">
        <v>2</v>
      </c>
      <c r="G43" s="121">
        <v>3</v>
      </c>
      <c r="H43" s="75">
        <v>4</v>
      </c>
      <c r="I43" s="75">
        <v>5</v>
      </c>
      <c r="J43" s="75"/>
      <c r="K43" s="75">
        <v>6</v>
      </c>
      <c r="L43" s="75"/>
      <c r="M43" s="75">
        <v>7</v>
      </c>
      <c r="N43" s="75"/>
      <c r="O43" s="75">
        <v>8</v>
      </c>
      <c r="P43" s="75"/>
      <c r="Q43" s="75">
        <v>9</v>
      </c>
      <c r="R43" s="75"/>
      <c r="S43" s="75">
        <v>10</v>
      </c>
      <c r="T43" s="75"/>
      <c r="U43" s="75">
        <v>11</v>
      </c>
      <c r="V43" s="75"/>
      <c r="W43" s="75"/>
      <c r="X43" s="75"/>
      <c r="Y43" s="75"/>
      <c r="Z43" s="75"/>
      <c r="AA43" s="75"/>
      <c r="AB43" s="75">
        <v>12</v>
      </c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>
        <v>13</v>
      </c>
    </row>
    <row r="44" spans="4:41" hidden="1" x14ac:dyDescent="0.2"/>
    <row r="45" spans="4:41" hidden="1" x14ac:dyDescent="0.2">
      <c r="E45" s="61" t="b">
        <f>EXACT(MV_tab!D75,E30)</f>
        <v>1</v>
      </c>
      <c r="F45" s="61" t="b">
        <f>EXACT(MV_tab!E75,F30)</f>
        <v>1</v>
      </c>
      <c r="G45" s="61" t="b">
        <f>EXACT(MV_tab!F75,G30)</f>
        <v>1</v>
      </c>
      <c r="H45" s="61" t="b">
        <f>EXACT(MV_tab!G75,H30)</f>
        <v>1</v>
      </c>
      <c r="I45" s="61" t="b">
        <f>EXACT(MV_tab!H75,I30)</f>
        <v>1</v>
      </c>
      <c r="J45" s="61" t="b">
        <f>EXACT(MV_tab!I75,J30)</f>
        <v>1</v>
      </c>
      <c r="K45" s="61" t="b">
        <f>EXACT(MV_tab!L75,K30)</f>
        <v>0</v>
      </c>
      <c r="L45" s="61" t="b">
        <f>EXACT(MV_tab!K75,L30)</f>
        <v>1</v>
      </c>
      <c r="M45" s="61" t="b">
        <f>EXACT(MV_tab!L75,M30)</f>
        <v>1</v>
      </c>
      <c r="N45" s="61" t="b">
        <f>EXACT(MV_tab!M75,N30)</f>
        <v>1</v>
      </c>
      <c r="O45" s="61" t="b">
        <f>EXACT(MV_tab!N75,O30)</f>
        <v>1</v>
      </c>
      <c r="P45" s="61" t="b">
        <f>EXACT(MV_tab!O75,P30)</f>
        <v>1</v>
      </c>
      <c r="Q45" s="61" t="b">
        <f>EXACT(MV_tab!P75,Q30)</f>
        <v>1</v>
      </c>
      <c r="R45" s="61" t="b">
        <f>EXACT(MV_tab!Q75,R30)</f>
        <v>1</v>
      </c>
      <c r="S45" s="61" t="b">
        <f>EXACT(MV_tab!R75,S30)</f>
        <v>1</v>
      </c>
      <c r="T45" s="61" t="b">
        <f>EXACT(MV_tab!S75,T30)</f>
        <v>1</v>
      </c>
      <c r="U45" s="61" t="b">
        <f>EXACT(MV_tab!T75,U30)</f>
        <v>1</v>
      </c>
      <c r="V45" s="61" t="b">
        <f>EXACT(MV_tab!T75,V30)</f>
        <v>0</v>
      </c>
      <c r="W45" s="61" t="b">
        <f>EXACT(MV_tab!V75,W30)</f>
        <v>1</v>
      </c>
      <c r="X45" s="61" t="b">
        <f>EXACT(MV_tab!W75,X30)</f>
        <v>1</v>
      </c>
      <c r="Y45" s="61" t="b">
        <f>EXACT(MV_tab!X75,Y30)</f>
        <v>1</v>
      </c>
      <c r="Z45" s="61" t="b">
        <f>EXACT(MV_tab!Y75,Z30)</f>
        <v>1</v>
      </c>
      <c r="AA45" s="61" t="b">
        <f>EXACT(MV_tab!Z75,AA30)</f>
        <v>1</v>
      </c>
      <c r="AB45" s="61" t="b">
        <f>EXACT(MV_tab!AA75,AB30)</f>
        <v>1</v>
      </c>
      <c r="AC45" s="61" t="b">
        <f>EXACT(MV_tab!AB75,AC30)</f>
        <v>1</v>
      </c>
      <c r="AG45" s="61" t="b">
        <v>0</v>
      </c>
      <c r="AM45" s="122"/>
      <c r="AN45" s="122" t="b">
        <f>EXACT(MV_tab!AM75,AN30)</f>
        <v>1</v>
      </c>
      <c r="AO45" s="122" t="b">
        <f>EXACT(MV_tab!AN75,AO30)</f>
        <v>1</v>
      </c>
    </row>
    <row r="46" spans="4:41" hidden="1" x14ac:dyDescent="0.2">
      <c r="E46" s="61">
        <v>2189.1999999999998</v>
      </c>
      <c r="F46" s="61">
        <v>2354.1999999999998</v>
      </c>
      <c r="G46" s="61">
        <v>2464.4</v>
      </c>
      <c r="H46" s="61">
        <v>2577.1</v>
      </c>
      <c r="I46" s="61">
        <v>2814.8</v>
      </c>
      <c r="J46" s="61">
        <v>2907</v>
      </c>
      <c r="K46" s="61">
        <v>2984</v>
      </c>
      <c r="L46" s="61">
        <v>3202</v>
      </c>
      <c r="M46" s="61">
        <v>3353</v>
      </c>
      <c r="N46" s="61">
        <v>3516</v>
      </c>
      <c r="O46" s="61">
        <v>3663</v>
      </c>
      <c r="P46" s="61">
        <v>3827</v>
      </c>
      <c r="Q46" s="61">
        <v>3848</v>
      </c>
      <c r="R46" s="61">
        <v>3634</v>
      </c>
      <c r="S46" s="61">
        <v>3759</v>
      </c>
      <c r="T46" s="61">
        <v>3678</v>
      </c>
      <c r="U46" s="61">
        <v>3791</v>
      </c>
      <c r="V46" s="61">
        <v>3729</v>
      </c>
      <c r="W46" s="61">
        <v>4022</v>
      </c>
      <c r="X46" s="61">
        <v>3820</v>
      </c>
      <c r="Y46" s="61">
        <v>4048</v>
      </c>
      <c r="Z46" s="61">
        <v>3796</v>
      </c>
      <c r="AA46" s="61">
        <v>4086</v>
      </c>
      <c r="AB46" s="61">
        <v>3974</v>
      </c>
      <c r="AC46" s="61">
        <v>4266</v>
      </c>
      <c r="AG46" s="61">
        <v>4467</v>
      </c>
      <c r="AN46" s="61">
        <v>4467</v>
      </c>
      <c r="AO46" s="61">
        <v>4647</v>
      </c>
    </row>
    <row r="47" spans="4:41" hidden="1" x14ac:dyDescent="0.2"/>
    <row r="48" spans="4:41" hidden="1" x14ac:dyDescent="0.2">
      <c r="E48" s="61" t="b">
        <f>EXACT(MV_tab!D81,E33)</f>
        <v>1</v>
      </c>
      <c r="F48" s="61" t="b">
        <f>EXACT(MV_tab!E81,F33)</f>
        <v>1</v>
      </c>
      <c r="G48" s="61" t="b">
        <f>EXACT(MV_tab!F81,G33)</f>
        <v>1</v>
      </c>
      <c r="H48" s="61" t="b">
        <f>EXACT(MV_tab!G81,H33)</f>
        <v>1</v>
      </c>
      <c r="I48" s="61" t="b">
        <f>EXACT(MV_tab!H81,I33)</f>
        <v>1</v>
      </c>
      <c r="J48" s="61" t="b">
        <f>EXACT(MV_tab!I81,J33)</f>
        <v>1</v>
      </c>
      <c r="K48" s="61" t="b">
        <f>EXACT(MV_tab!L81,K33)</f>
        <v>0</v>
      </c>
      <c r="L48" s="61" t="b">
        <f>EXACT(MV_tab!K81,L33)</f>
        <v>1</v>
      </c>
      <c r="M48" s="61" t="b">
        <f>EXACT(MV_tab!L81,M33)</f>
        <v>1</v>
      </c>
      <c r="N48" s="61" t="b">
        <f>EXACT(MV_tab!M81,N33)</f>
        <v>1</v>
      </c>
      <c r="O48" s="61" t="b">
        <f>EXACT(MV_tab!N81,O33)</f>
        <v>1</v>
      </c>
      <c r="P48" s="61" t="b">
        <f>EXACT(MV_tab!O81,P33)</f>
        <v>1</v>
      </c>
      <c r="Q48" s="61" t="b">
        <f>EXACT(MV_tab!P81,Q33)</f>
        <v>1</v>
      </c>
      <c r="R48" s="61" t="b">
        <f>EXACT(MV_tab!Q81,R33)</f>
        <v>1</v>
      </c>
      <c r="S48" s="61" t="b">
        <f>EXACT(MV_tab!R81,S33)</f>
        <v>1</v>
      </c>
      <c r="T48" s="61" t="b">
        <f>EXACT(MV_tab!S81,T33)</f>
        <v>1</v>
      </c>
      <c r="U48" s="61" t="b">
        <f>EXACT(MV_tab!T81,U33)</f>
        <v>1</v>
      </c>
      <c r="V48" s="61" t="b">
        <f>EXACT(MV_tab!T81,V33)</f>
        <v>0</v>
      </c>
      <c r="W48" s="61" t="b">
        <f>EXACT(MV_tab!V81,W33)</f>
        <v>1</v>
      </c>
      <c r="X48" s="61" t="b">
        <f>EXACT(MV_tab!W81,X33)</f>
        <v>1</v>
      </c>
      <c r="Y48" s="61" t="b">
        <f>EXACT(MV_tab!X81,Y33)</f>
        <v>1</v>
      </c>
      <c r="Z48" s="61" t="b">
        <f>EXACT(MV_tab!Y81,Z33)</f>
        <v>1</v>
      </c>
      <c r="AA48" s="61" t="b">
        <f>EXACT(MV_tab!Z81,AA33)</f>
        <v>1</v>
      </c>
      <c r="AB48" s="61" t="b">
        <f>EXACT(MV_tab!AA81,AB33)</f>
        <v>1</v>
      </c>
      <c r="AC48" s="61" t="b">
        <f>EXACT(MV_tab!AB81,AC33)</f>
        <v>1</v>
      </c>
      <c r="AG48" s="61" t="b">
        <v>1</v>
      </c>
      <c r="AM48" s="122"/>
      <c r="AN48" s="122" t="b">
        <f>EXACT(MV_tab!AM81,AN33)</f>
        <v>1</v>
      </c>
      <c r="AO48" s="122" t="b">
        <f>EXACT(MV_tab!AN81,AO33)</f>
        <v>1</v>
      </c>
    </row>
    <row r="49" spans="5:41" hidden="1" x14ac:dyDescent="0.2">
      <c r="E49" s="61" t="b">
        <f>EXACT(MV_tab!D87,E36)</f>
        <v>1</v>
      </c>
      <c r="F49" s="61" t="b">
        <f>EXACT(MV_tab!E87,F36)</f>
        <v>1</v>
      </c>
      <c r="G49" s="61" t="b">
        <f>EXACT(MV_tab!F87,G36)</f>
        <v>1</v>
      </c>
      <c r="H49" s="61" t="b">
        <f>EXACT(MV_tab!G87,H36)</f>
        <v>1</v>
      </c>
      <c r="I49" s="61" t="b">
        <f>EXACT(MV_tab!H87,I36)</f>
        <v>1</v>
      </c>
      <c r="J49" s="61" t="b">
        <f>EXACT(MV_tab!I87,J36)</f>
        <v>1</v>
      </c>
      <c r="K49" s="61" t="b">
        <f>EXACT(MV_tab!L87,K36)</f>
        <v>0</v>
      </c>
      <c r="L49" s="61" t="b">
        <f>EXACT(MV_tab!K87,L36)</f>
        <v>1</v>
      </c>
      <c r="M49" s="61" t="b">
        <f>EXACT(MV_tab!L87,M36)</f>
        <v>1</v>
      </c>
      <c r="N49" s="61" t="b">
        <f>EXACT(MV_tab!M87,N36)</f>
        <v>1</v>
      </c>
      <c r="O49" s="61" t="b">
        <f>EXACT(MV_tab!N87,O36)</f>
        <v>1</v>
      </c>
      <c r="P49" s="61" t="b">
        <f>EXACT(MV_tab!O87,P36)</f>
        <v>1</v>
      </c>
      <c r="Q49" s="61" t="b">
        <f>EXACT(MV_tab!P87,Q36)</f>
        <v>1</v>
      </c>
      <c r="R49" s="61" t="b">
        <f>EXACT(MV_tab!Q87,R36)</f>
        <v>1</v>
      </c>
      <c r="S49" s="61" t="b">
        <f>EXACT(MV_tab!R87,S36)</f>
        <v>1</v>
      </c>
      <c r="T49" s="61" t="b">
        <f>EXACT(MV_tab!S87,T36)</f>
        <v>1</v>
      </c>
      <c r="U49" s="61" t="b">
        <f>EXACT(MV_tab!T87,U36)</f>
        <v>1</v>
      </c>
      <c r="V49" s="61" t="b">
        <f>EXACT(MV_tab!T87,V36)</f>
        <v>0</v>
      </c>
      <c r="W49" s="61" t="b">
        <f>EXACT(MV_tab!V87,W36)</f>
        <v>1</v>
      </c>
      <c r="X49" s="61" t="b">
        <f>EXACT(MV_tab!W87,X36)</f>
        <v>1</v>
      </c>
      <c r="Y49" s="61" t="b">
        <f>EXACT(MV_tab!X87,Y36)</f>
        <v>1</v>
      </c>
      <c r="Z49" s="61" t="b">
        <f>EXACT(MV_tab!Y87,Z36)</f>
        <v>1</v>
      </c>
      <c r="AA49" s="61" t="b">
        <f>EXACT(MV_tab!Z87,AA36)</f>
        <v>1</v>
      </c>
      <c r="AB49" s="61" t="b">
        <f>EXACT(MV_tab!AA87,AB36)</f>
        <v>1</v>
      </c>
      <c r="AC49" s="61" t="b">
        <f>EXACT(MV_tab!AB87,AC36)</f>
        <v>1</v>
      </c>
      <c r="AG49" s="61" t="b">
        <v>1</v>
      </c>
      <c r="AM49" s="122"/>
      <c r="AN49" s="122" t="b">
        <f>EXACT(MV_tab!AM87,AN36)</f>
        <v>1</v>
      </c>
      <c r="AO49" s="122" t="b">
        <f>EXACT(MV_tab!AN87,AO36)</f>
        <v>1</v>
      </c>
    </row>
    <row r="50" spans="5:41" hidden="1" x14ac:dyDescent="0.2"/>
    <row r="51" spans="5:41" x14ac:dyDescent="0.2">
      <c r="AN51" s="110"/>
      <c r="AO51" s="123"/>
    </row>
    <row r="53" spans="5:41" x14ac:dyDescent="0.2"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</row>
  </sheetData>
  <mergeCells count="20">
    <mergeCell ref="AN29:AO29"/>
    <mergeCell ref="AG11:AG12"/>
    <mergeCell ref="AE11:AE12"/>
    <mergeCell ref="AN11:AN12"/>
    <mergeCell ref="AO11:AO12"/>
    <mergeCell ref="AH11:AH12"/>
    <mergeCell ref="AI11:AI12"/>
    <mergeCell ref="AK11:AK12"/>
    <mergeCell ref="AL11:AL12"/>
    <mergeCell ref="AJ11:AJ12"/>
    <mergeCell ref="AM11:AM12"/>
    <mergeCell ref="AF11:AF12"/>
    <mergeCell ref="AP11:AP12"/>
    <mergeCell ref="AP5:AP6"/>
    <mergeCell ref="D3:AO3"/>
    <mergeCell ref="U11:U12"/>
    <mergeCell ref="W11:W12"/>
    <mergeCell ref="Y11:Y12"/>
    <mergeCell ref="AA11:AA12"/>
    <mergeCell ref="AC11:AC12"/>
  </mergeCells>
  <phoneticPr fontId="0" type="noConversion"/>
  <printOptions horizontalCentered="1"/>
  <pageMargins left="0.31496062992125984" right="0.31496062992125984" top="0.51181102362204722" bottom="0.27559055118110237" header="0.55118110236220474" footer="0.31496062992125984"/>
  <pageSetup paperSize="9" scale="67" firstPageNumber="2" orientation="landscape" useFirstPageNumber="1" r:id="rId1"/>
  <headerFooter alignWithMargins="0">
    <oddFooter>&amp;CStrana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MV_tab</vt:lpstr>
      <vt:lpstr>quasiMV</vt:lpstr>
      <vt:lpstr>MV_tab!Názvy_tisku</vt:lpstr>
      <vt:lpstr>quasiMV!Názvy_tisku</vt:lpstr>
      <vt:lpstr>MV_tab!Oblast_tisku</vt:lpstr>
      <vt:lpstr>quasiMV!Oblast_tisku</vt:lpstr>
    </vt:vector>
  </TitlesOfParts>
  <Company>MF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Bakeš Karel Ing.</cp:lastModifiedBy>
  <cp:lastPrinted>2020-10-27T15:25:25Z</cp:lastPrinted>
  <dcterms:created xsi:type="dcterms:W3CDTF">1999-04-29T08:12:31Z</dcterms:created>
  <dcterms:modified xsi:type="dcterms:W3CDTF">2020-10-27T15:25:46Z</dcterms:modified>
</cp:coreProperties>
</file>