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428" yWindow="4320" windowWidth="7392" windowHeight="3972" tabRatio="599" activeTab="1"/>
  </bookViews>
  <sheets>
    <sheet name="MV_tab" sheetId="3" r:id="rId1"/>
    <sheet name="quasiMV" sheetId="2" r:id="rId2"/>
  </sheets>
  <definedNames>
    <definedName name="_xlnm.Print_Titles" localSheetId="0">MV_tab!$5:$8</definedName>
    <definedName name="_xlnm.Print_Titles" localSheetId="1">quasiMV!$5:$7</definedName>
    <definedName name="_xlnm.Print_Area" localSheetId="0">MV_tab!$C$1:$AQ$109</definedName>
    <definedName name="_xlnm.Print_Area" localSheetId="1">quasiMV!$A$1:$AQ$43</definedName>
  </definedNames>
  <calcPr calcId="145621"/>
</workbook>
</file>

<file path=xl/calcChain.xml><?xml version="1.0" encoding="utf-8"?>
<calcChain xmlns="http://schemas.openxmlformats.org/spreadsheetml/2006/main">
  <c r="AO15" i="2" l="1"/>
  <c r="AO12" i="3" l="1"/>
  <c r="AM109" i="3" l="1"/>
  <c r="AO109" i="3"/>
  <c r="AF34" i="2"/>
  <c r="AH34" i="2"/>
  <c r="AJ34" i="2"/>
  <c r="AM34" i="2"/>
  <c r="AN34" i="2"/>
  <c r="AO34" i="2"/>
  <c r="AO12" i="2" l="1"/>
  <c r="AO15" i="3"/>
  <c r="AO31" i="3" l="1"/>
  <c r="AO29" i="3"/>
  <c r="AO20" i="3"/>
  <c r="AO18" i="3"/>
  <c r="AO14" i="3"/>
  <c r="AM31" i="3" l="1"/>
  <c r="AM29" i="3"/>
  <c r="AM47" i="3" s="1"/>
  <c r="AM40" i="2" l="1"/>
  <c r="AM37" i="2"/>
  <c r="AO37" i="2"/>
  <c r="AO40" i="2"/>
  <c r="AM103" i="3"/>
  <c r="AM97" i="3"/>
  <c r="AM91" i="3"/>
  <c r="AM56" i="3"/>
  <c r="AO56" i="3"/>
  <c r="AM67" i="3"/>
  <c r="AO67" i="3"/>
  <c r="AO47" i="3"/>
  <c r="AO103" i="3" s="1"/>
  <c r="AM11" i="3"/>
  <c r="AM102" i="3" s="1"/>
  <c r="AO11" i="3"/>
  <c r="AO96" i="3" s="1"/>
  <c r="AP21" i="2"/>
  <c r="AP20" i="2"/>
  <c r="AP19" i="2"/>
  <c r="AP18" i="2"/>
  <c r="AP17" i="2"/>
  <c r="AP15" i="2"/>
  <c r="AP14" i="2"/>
  <c r="AP13" i="2"/>
  <c r="AP12" i="2"/>
  <c r="AM22" i="2"/>
  <c r="AM35" i="2" s="1"/>
  <c r="AN22" i="2"/>
  <c r="AO22" i="2"/>
  <c r="AP22" i="2" s="1"/>
  <c r="AP70" i="3"/>
  <c r="AP68" i="3"/>
  <c r="AP66" i="3"/>
  <c r="AP65" i="3"/>
  <c r="AP64" i="3"/>
  <c r="AP63" i="3"/>
  <c r="AP62" i="3"/>
  <c r="AP61" i="3"/>
  <c r="AP60" i="3"/>
  <c r="AP59" i="3"/>
  <c r="AP58" i="3"/>
  <c r="AP57" i="3"/>
  <c r="AP55" i="3"/>
  <c r="AP54" i="3"/>
  <c r="AP53" i="3"/>
  <c r="AP52" i="3"/>
  <c r="AP51" i="3"/>
  <c r="AP50" i="3"/>
  <c r="AP49" i="3"/>
  <c r="AP48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P13" i="3"/>
  <c r="AP12" i="3"/>
  <c r="AO69" i="3" l="1"/>
  <c r="AO104" i="3" s="1"/>
  <c r="AO90" i="3"/>
  <c r="AO97" i="3"/>
  <c r="AO102" i="3"/>
  <c r="AO91" i="3"/>
  <c r="AO38" i="2"/>
  <c r="AO41" i="2"/>
  <c r="AO35" i="2"/>
  <c r="AM38" i="2"/>
  <c r="AM41" i="2"/>
  <c r="AM69" i="3"/>
  <c r="AM71" i="3" s="1"/>
  <c r="AM90" i="3"/>
  <c r="AM96" i="3"/>
  <c r="AN18" i="3"/>
  <c r="AN14" i="3"/>
  <c r="AN12" i="2"/>
  <c r="AN15" i="2"/>
  <c r="AO71" i="3" l="1"/>
  <c r="AO105" i="3" s="1"/>
  <c r="AO98" i="3"/>
  <c r="AO92" i="3"/>
  <c r="AM92" i="3"/>
  <c r="AM104" i="3"/>
  <c r="AM105" i="3"/>
  <c r="AM93" i="3"/>
  <c r="AM98" i="3"/>
  <c r="AM99" i="3"/>
  <c r="AN66" i="3"/>
  <c r="AN13" i="2"/>
  <c r="AN12" i="3"/>
  <c r="AO93" i="3" l="1"/>
  <c r="AO99" i="3"/>
  <c r="AN42" i="3"/>
  <c r="AN31" i="3"/>
  <c r="AN29" i="3"/>
  <c r="AN15" i="3"/>
  <c r="AN20" i="3"/>
  <c r="AJ109" i="3" l="1"/>
  <c r="AJ15" i="2"/>
  <c r="AH15" i="2"/>
  <c r="AF15" i="2"/>
  <c r="AD15" i="2"/>
  <c r="AJ40" i="2" l="1"/>
  <c r="AJ37" i="2"/>
  <c r="AJ22" i="2"/>
  <c r="AL40" i="2"/>
  <c r="AL37" i="2"/>
  <c r="AL34" i="2"/>
  <c r="AL14" i="2"/>
  <c r="AL13" i="2"/>
  <c r="AL109" i="3"/>
  <c r="AL66" i="3"/>
  <c r="AL63" i="3"/>
  <c r="AL67" i="3" s="1"/>
  <c r="AL69" i="3" s="1"/>
  <c r="AL56" i="3"/>
  <c r="AL42" i="3"/>
  <c r="AL38" i="3"/>
  <c r="AL36" i="3"/>
  <c r="AL31" i="3"/>
  <c r="AL29" i="3"/>
  <c r="AL28" i="3"/>
  <c r="AL25" i="3"/>
  <c r="AL23" i="3"/>
  <c r="AL20" i="3"/>
  <c r="AL18" i="3"/>
  <c r="AL16" i="3"/>
  <c r="AL15" i="3"/>
  <c r="AL14" i="3"/>
  <c r="AL12" i="3"/>
  <c r="AJ67" i="3"/>
  <c r="AJ69" i="3" s="1"/>
  <c r="AJ98" i="3" s="1"/>
  <c r="AJ56" i="3"/>
  <c r="AJ47" i="3"/>
  <c r="AJ103" i="3" s="1"/>
  <c r="AJ11" i="3"/>
  <c r="AJ102" i="3" s="1"/>
  <c r="AL11" i="3" l="1"/>
  <c r="AL96" i="3" s="1"/>
  <c r="AL22" i="2"/>
  <c r="AL41" i="2" s="1"/>
  <c r="AJ35" i="2"/>
  <c r="AJ38" i="2"/>
  <c r="AJ41" i="2"/>
  <c r="AJ92" i="3"/>
  <c r="AJ104" i="3"/>
  <c r="AJ71" i="3"/>
  <c r="AJ91" i="3"/>
  <c r="AJ97" i="3"/>
  <c r="AJ90" i="3"/>
  <c r="AJ96" i="3"/>
  <c r="AL38" i="2"/>
  <c r="AL104" i="3"/>
  <c r="AL98" i="3"/>
  <c r="AL92" i="3"/>
  <c r="AL102" i="3"/>
  <c r="AL90" i="3"/>
  <c r="AL47" i="3"/>
  <c r="AL35" i="2" l="1"/>
  <c r="AJ105" i="3"/>
  <c r="AJ99" i="3"/>
  <c r="AJ93" i="3"/>
  <c r="AL103" i="3"/>
  <c r="AL97" i="3"/>
  <c r="AL91" i="3"/>
  <c r="AL71" i="3"/>
  <c r="AT66" i="3"/>
  <c r="AT25" i="3"/>
  <c r="AT23" i="3"/>
  <c r="AT13" i="2"/>
  <c r="AT14" i="2"/>
  <c r="AT15" i="2"/>
  <c r="AT16" i="2"/>
  <c r="AT17" i="2"/>
  <c r="AT18" i="2"/>
  <c r="AT19" i="2"/>
  <c r="AT20" i="2"/>
  <c r="AT21" i="2"/>
  <c r="AT12" i="2"/>
  <c r="AT12" i="3"/>
  <c r="AT13" i="3"/>
  <c r="AT14" i="3"/>
  <c r="AT15" i="3"/>
  <c r="AT16" i="3"/>
  <c r="AT17" i="3"/>
  <c r="AT18" i="3"/>
  <c r="AT19" i="3"/>
  <c r="AT20" i="3"/>
  <c r="AT21" i="3"/>
  <c r="AT22" i="3"/>
  <c r="AT24" i="3"/>
  <c r="AT26" i="3"/>
  <c r="AT27" i="3"/>
  <c r="AT28" i="3"/>
  <c r="AT29" i="3"/>
  <c r="AT30" i="3"/>
  <c r="AT31" i="3"/>
  <c r="AT32" i="3"/>
  <c r="AT33" i="3"/>
  <c r="AT34" i="3"/>
  <c r="AT35" i="3"/>
  <c r="AT36" i="3"/>
  <c r="AT37" i="3"/>
  <c r="AT38" i="3"/>
  <c r="AT39" i="3"/>
  <c r="AT40" i="3"/>
  <c r="AT41" i="3"/>
  <c r="AT42" i="3"/>
  <c r="AT43" i="3"/>
  <c r="AT44" i="3"/>
  <c r="AT46" i="3"/>
  <c r="AT48" i="3"/>
  <c r="AT49" i="3"/>
  <c r="AT50" i="3"/>
  <c r="AT51" i="3"/>
  <c r="AT52" i="3"/>
  <c r="AT53" i="3"/>
  <c r="AT54" i="3"/>
  <c r="AT55" i="3"/>
  <c r="AT57" i="3"/>
  <c r="AT58" i="3"/>
  <c r="AT59" i="3"/>
  <c r="AT60" i="3"/>
  <c r="AT61" i="3"/>
  <c r="AT62" i="3"/>
  <c r="AT63" i="3"/>
  <c r="AT64" i="3"/>
  <c r="AT65" i="3"/>
  <c r="AT68" i="3"/>
  <c r="AT70" i="3"/>
  <c r="AL105" i="3" l="1"/>
  <c r="AL99" i="3"/>
  <c r="AL93" i="3"/>
  <c r="AN109" i="3" l="1"/>
  <c r="AN67" i="3"/>
  <c r="AP67" i="3" s="1"/>
  <c r="AN56" i="3"/>
  <c r="AP56" i="3" s="1"/>
  <c r="AT67" i="3" l="1"/>
  <c r="AT56" i="3"/>
  <c r="AH22" i="2"/>
  <c r="AH13" i="2"/>
  <c r="AH109" i="3"/>
  <c r="AH40" i="2"/>
  <c r="AH37" i="2"/>
  <c r="AN37" i="2"/>
  <c r="AN40" i="2"/>
  <c r="AH67" i="3"/>
  <c r="AG56" i="3"/>
  <c r="AH56" i="3"/>
  <c r="AH69" i="3" s="1"/>
  <c r="AH47" i="3"/>
  <c r="AH11" i="3"/>
  <c r="AH102" i="3" s="1"/>
  <c r="AN69" i="3"/>
  <c r="AP69" i="3" s="1"/>
  <c r="AN47" i="3"/>
  <c r="AP47" i="3" s="1"/>
  <c r="AN11" i="3"/>
  <c r="AP11" i="3" s="1"/>
  <c r="AH96" i="3" l="1"/>
  <c r="AH35" i="2"/>
  <c r="AT22" i="2"/>
  <c r="AH41" i="2"/>
  <c r="AN90" i="3"/>
  <c r="AT11" i="3"/>
  <c r="AH38" i="2"/>
  <c r="AT69" i="3"/>
  <c r="AN91" i="3"/>
  <c r="AT47" i="3"/>
  <c r="AN35" i="2"/>
  <c r="AN92" i="3"/>
  <c r="AN104" i="3"/>
  <c r="AN97" i="3"/>
  <c r="AN102" i="3"/>
  <c r="AN71" i="3"/>
  <c r="AP71" i="3" s="1"/>
  <c r="AN103" i="3"/>
  <c r="AN96" i="3"/>
  <c r="AH98" i="3"/>
  <c r="AH92" i="3"/>
  <c r="AH104" i="3"/>
  <c r="AH71" i="3"/>
  <c r="AH105" i="3" s="1"/>
  <c r="AH91" i="3"/>
  <c r="AH90" i="3"/>
  <c r="AH97" i="3"/>
  <c r="AH103" i="3"/>
  <c r="AH99" i="3"/>
  <c r="AN41" i="2"/>
  <c r="AN38" i="2"/>
  <c r="AN98" i="3"/>
  <c r="AK15" i="2"/>
  <c r="AH93" i="3" l="1"/>
  <c r="AT71" i="3"/>
  <c r="AN93" i="3"/>
  <c r="AN99" i="3"/>
  <c r="AN105" i="3"/>
  <c r="AK36" i="3"/>
  <c r="AK20" i="3"/>
  <c r="AK16" i="3"/>
  <c r="AK13" i="2" l="1"/>
  <c r="AK101" i="3"/>
  <c r="AK95" i="3"/>
  <c r="AK15" i="3"/>
  <c r="AK12" i="3"/>
  <c r="AI89" i="3" l="1"/>
  <c r="AB89" i="3"/>
  <c r="Z89" i="3"/>
  <c r="AK60" i="3" l="1"/>
  <c r="AK31" i="3"/>
  <c r="AK29" i="3"/>
  <c r="AK14" i="3"/>
  <c r="AK67" i="3" l="1"/>
  <c r="AK56" i="3"/>
  <c r="AK47" i="3"/>
  <c r="AK11" i="3"/>
  <c r="AK22" i="2"/>
  <c r="AK109" i="3"/>
  <c r="AK37" i="2"/>
  <c r="AK96" i="3" l="1"/>
  <c r="AK38" i="2"/>
  <c r="AK69" i="3"/>
  <c r="AK92" i="3" s="1"/>
  <c r="AK91" i="3"/>
  <c r="AK103" i="3"/>
  <c r="AK34" i="2"/>
  <c r="AK35" i="2" s="1"/>
  <c r="AK40" i="2"/>
  <c r="AK41" i="2" s="1"/>
  <c r="AK90" i="3"/>
  <c r="AK97" i="3"/>
  <c r="AK102" i="3"/>
  <c r="AK104" i="3" l="1"/>
  <c r="AK98" i="3"/>
  <c r="AK71" i="3"/>
  <c r="AK99" i="3" s="1"/>
  <c r="AF14" i="2"/>
  <c r="AK93" i="3" l="1"/>
  <c r="AK105" i="3"/>
  <c r="AF37" i="2"/>
  <c r="AF40" i="2"/>
  <c r="AF22" i="2"/>
  <c r="AF67" i="3"/>
  <c r="AF56" i="3"/>
  <c r="AF47" i="3"/>
  <c r="AF103" i="3" s="1"/>
  <c r="AF11" i="3"/>
  <c r="AF102" i="3" s="1"/>
  <c r="AF109" i="3"/>
  <c r="AF35" i="2" l="1"/>
  <c r="AF38" i="2"/>
  <c r="AF41" i="2"/>
  <c r="AF69" i="3"/>
  <c r="AF71" i="3" s="1"/>
  <c r="AF105" i="3" s="1"/>
  <c r="AF97" i="3"/>
  <c r="AF91" i="3"/>
  <c r="AF90" i="3"/>
  <c r="AF96" i="3"/>
  <c r="AI15" i="2"/>
  <c r="AI12" i="2"/>
  <c r="AI12" i="3"/>
  <c r="AI25" i="3"/>
  <c r="AI21" i="3"/>
  <c r="AI20" i="3"/>
  <c r="AI13" i="2"/>
  <c r="AI63" i="3"/>
  <c r="AI60" i="3"/>
  <c r="AI18" i="3"/>
  <c r="AI101" i="3"/>
  <c r="AI109" i="3" s="1"/>
  <c r="AI95" i="3"/>
  <c r="T89" i="3"/>
  <c r="R89" i="3"/>
  <c r="P89" i="3"/>
  <c r="O89" i="3"/>
  <c r="AI34" i="2"/>
  <c r="AG89" i="3"/>
  <c r="AG34" i="2" s="1"/>
  <c r="X89" i="3"/>
  <c r="V89" i="3"/>
  <c r="AI38" i="3"/>
  <c r="AI42" i="3"/>
  <c r="AI56" i="3"/>
  <c r="AI31" i="3"/>
  <c r="AI29" i="3"/>
  <c r="AI15" i="3"/>
  <c r="AI11" i="3" s="1"/>
  <c r="AI14" i="3"/>
  <c r="AD22" i="2"/>
  <c r="AD37" i="2"/>
  <c r="AD40" i="2"/>
  <c r="AI37" i="2"/>
  <c r="AD56" i="3"/>
  <c r="AD67" i="3"/>
  <c r="AD47" i="3"/>
  <c r="AD11" i="3"/>
  <c r="AD96" i="3" s="1"/>
  <c r="AD109" i="3"/>
  <c r="AD102" i="3"/>
  <c r="AD97" i="3"/>
  <c r="AG15" i="2"/>
  <c r="AG36" i="3"/>
  <c r="AG20" i="3"/>
  <c r="AG14" i="3"/>
  <c r="AG13" i="2"/>
  <c r="AG22" i="2" s="1"/>
  <c r="AG101" i="3"/>
  <c r="AG95" i="3"/>
  <c r="AG37" i="2" s="1"/>
  <c r="AG63" i="3"/>
  <c r="AG67" i="3" s="1"/>
  <c r="AG69" i="3" s="1"/>
  <c r="AG25" i="3"/>
  <c r="AG15" i="3"/>
  <c r="AE15" i="3"/>
  <c r="AG38" i="3"/>
  <c r="AG31" i="3"/>
  <c r="AG29" i="3"/>
  <c r="AA37" i="2"/>
  <c r="AB37" i="2"/>
  <c r="AA40" i="2"/>
  <c r="AB40" i="2"/>
  <c r="AA34" i="2"/>
  <c r="AB34" i="2"/>
  <c r="AA109" i="3"/>
  <c r="AB109" i="3"/>
  <c r="AB22" i="2"/>
  <c r="AB11" i="3"/>
  <c r="AB102" i="3" s="1"/>
  <c r="AB47" i="3"/>
  <c r="AB103" i="3" s="1"/>
  <c r="AB56" i="3"/>
  <c r="AB67" i="3"/>
  <c r="AB97" i="3"/>
  <c r="AC60" i="3"/>
  <c r="AC31" i="3"/>
  <c r="AE15" i="2"/>
  <c r="AE13" i="2"/>
  <c r="AE60" i="3"/>
  <c r="AE54" i="3"/>
  <c r="AE56" i="3" s="1"/>
  <c r="AE36" i="3"/>
  <c r="AE30" i="3"/>
  <c r="AE25" i="3"/>
  <c r="AE13" i="3"/>
  <c r="AE12" i="3"/>
  <c r="AC101" i="3"/>
  <c r="AC40" i="2" s="1"/>
  <c r="AC95" i="3"/>
  <c r="AC25" i="3"/>
  <c r="AC12" i="3"/>
  <c r="AE38" i="3"/>
  <c r="AE14" i="3"/>
  <c r="AE20" i="3"/>
  <c r="AE29" i="3"/>
  <c r="AE31" i="3"/>
  <c r="AE63" i="3"/>
  <c r="Y34" i="2"/>
  <c r="Z15" i="2"/>
  <c r="AE109" i="3"/>
  <c r="Y40" i="2"/>
  <c r="Y13" i="2"/>
  <c r="Y15" i="2"/>
  <c r="Y22" i="2" s="1"/>
  <c r="Z13" i="2"/>
  <c r="Z22" i="2"/>
  <c r="Z40" i="2"/>
  <c r="Y37" i="2"/>
  <c r="Z37" i="2"/>
  <c r="Y109" i="3"/>
  <c r="Z109" i="3"/>
  <c r="AE34" i="2"/>
  <c r="AE37" i="2"/>
  <c r="AE40" i="2"/>
  <c r="AC13" i="2"/>
  <c r="AC15" i="2"/>
  <c r="AC63" i="3"/>
  <c r="AC66" i="3"/>
  <c r="AC56" i="3"/>
  <c r="AC13" i="3"/>
  <c r="AC14" i="3"/>
  <c r="AC15" i="3"/>
  <c r="AC16" i="3"/>
  <c r="AC18" i="3"/>
  <c r="AC20" i="3"/>
  <c r="AC23" i="3"/>
  <c r="AC28" i="3"/>
  <c r="AC29" i="3"/>
  <c r="AC38" i="3"/>
  <c r="Z67" i="3"/>
  <c r="Z56" i="3"/>
  <c r="Z69" i="3" s="1"/>
  <c r="Z104" i="3" s="1"/>
  <c r="Z11" i="3"/>
  <c r="Z102" i="3" s="1"/>
  <c r="Z47" i="3"/>
  <c r="Z103" i="3" s="1"/>
  <c r="Z98" i="3"/>
  <c r="M54" i="3"/>
  <c r="X15" i="2"/>
  <c r="W34" i="2"/>
  <c r="W13" i="2"/>
  <c r="W14" i="2"/>
  <c r="W15" i="2"/>
  <c r="W17" i="2"/>
  <c r="W18" i="2"/>
  <c r="X13" i="2"/>
  <c r="X34" i="2"/>
  <c r="W95" i="3"/>
  <c r="X37" i="2"/>
  <c r="W101" i="3"/>
  <c r="W40" i="2" s="1"/>
  <c r="X40" i="2"/>
  <c r="AC34" i="2"/>
  <c r="AC37" i="2"/>
  <c r="X11" i="3"/>
  <c r="X47" i="3"/>
  <c r="X56" i="3"/>
  <c r="X67" i="3"/>
  <c r="X69" i="3"/>
  <c r="X109" i="3"/>
  <c r="AA60" i="3"/>
  <c r="AA63" i="3"/>
  <c r="AA66" i="3"/>
  <c r="AA56" i="3"/>
  <c r="AA12" i="3"/>
  <c r="AA47" i="3" s="1"/>
  <c r="AA14" i="3"/>
  <c r="AA15" i="3"/>
  <c r="AA18" i="3"/>
  <c r="AA20" i="3"/>
  <c r="AA21" i="3"/>
  <c r="AA29" i="3"/>
  <c r="AA31" i="3"/>
  <c r="AA36" i="3"/>
  <c r="AA38" i="3"/>
  <c r="AA42" i="3"/>
  <c r="AA15" i="2"/>
  <c r="AA13" i="2"/>
  <c r="Y60" i="3"/>
  <c r="Y25" i="3"/>
  <c r="U13" i="3"/>
  <c r="U14" i="3"/>
  <c r="U15" i="3"/>
  <c r="U16" i="3"/>
  <c r="U18" i="3"/>
  <c r="U101" i="3"/>
  <c r="U40" i="2" s="1"/>
  <c r="V11" i="3"/>
  <c r="U25" i="3"/>
  <c r="U29" i="3"/>
  <c r="V47" i="3"/>
  <c r="U60" i="3"/>
  <c r="U62" i="3"/>
  <c r="U63" i="3"/>
  <c r="U56" i="3"/>
  <c r="V67" i="3"/>
  <c r="V56" i="3"/>
  <c r="V69" i="3"/>
  <c r="V92" i="3" s="1"/>
  <c r="U95" i="3"/>
  <c r="U109" i="3" s="1"/>
  <c r="V97" i="3"/>
  <c r="V109" i="3"/>
  <c r="V15" i="2"/>
  <c r="V22" i="2" s="1"/>
  <c r="V13" i="2"/>
  <c r="V34" i="2"/>
  <c r="V37" i="2"/>
  <c r="V40" i="2"/>
  <c r="Y14" i="3"/>
  <c r="Y18" i="3"/>
  <c r="Y20" i="3"/>
  <c r="Y29" i="3"/>
  <c r="Y31" i="3"/>
  <c r="Y38" i="3"/>
  <c r="Y62" i="3"/>
  <c r="Y63" i="3"/>
  <c r="Y56" i="3"/>
  <c r="T13" i="2"/>
  <c r="T56" i="3"/>
  <c r="T20" i="3"/>
  <c r="T15" i="2"/>
  <c r="T109" i="3"/>
  <c r="T34" i="2"/>
  <c r="T37" i="2"/>
  <c r="T40" i="2"/>
  <c r="S34" i="2"/>
  <c r="S12" i="2"/>
  <c r="S13" i="2"/>
  <c r="S14" i="2"/>
  <c r="S15" i="2"/>
  <c r="S18" i="2"/>
  <c r="S22" i="2"/>
  <c r="S95" i="3"/>
  <c r="S101" i="3"/>
  <c r="S40" i="2" s="1"/>
  <c r="T11" i="3"/>
  <c r="T47" i="3"/>
  <c r="T103" i="3" s="1"/>
  <c r="T67" i="3"/>
  <c r="T69" i="3" s="1"/>
  <c r="T104" i="3" s="1"/>
  <c r="T97" i="3"/>
  <c r="W60" i="3"/>
  <c r="W62" i="3"/>
  <c r="W63" i="3"/>
  <c r="W56" i="3"/>
  <c r="W12" i="3"/>
  <c r="W13" i="3"/>
  <c r="W14" i="3"/>
  <c r="W16" i="3"/>
  <c r="W18" i="3"/>
  <c r="W20" i="3"/>
  <c r="W24" i="3"/>
  <c r="W25" i="3"/>
  <c r="W26" i="3"/>
  <c r="W28" i="3"/>
  <c r="W29" i="3"/>
  <c r="W31" i="3"/>
  <c r="W32" i="3"/>
  <c r="W36" i="3"/>
  <c r="W38" i="3"/>
  <c r="R15" i="2"/>
  <c r="R12" i="2"/>
  <c r="R13" i="2"/>
  <c r="R14" i="2"/>
  <c r="Q56" i="3"/>
  <c r="R56" i="3"/>
  <c r="R34" i="2"/>
  <c r="R37" i="2"/>
  <c r="R40" i="2"/>
  <c r="R109" i="3"/>
  <c r="R67" i="3"/>
  <c r="R11" i="3"/>
  <c r="R102" i="3" s="1"/>
  <c r="R47" i="3"/>
  <c r="R96" i="3"/>
  <c r="U15" i="2"/>
  <c r="U13" i="2"/>
  <c r="U14" i="2"/>
  <c r="U34" i="2"/>
  <c r="U37" i="2"/>
  <c r="S60" i="3"/>
  <c r="S67" i="3" s="1"/>
  <c r="P12" i="2"/>
  <c r="P13" i="2"/>
  <c r="P15" i="2"/>
  <c r="P17" i="2"/>
  <c r="P37" i="2"/>
  <c r="P40" i="2"/>
  <c r="S63" i="3"/>
  <c r="S56" i="3"/>
  <c r="S12" i="3"/>
  <c r="S15" i="3"/>
  <c r="S16" i="3"/>
  <c r="S18" i="3"/>
  <c r="S21" i="3"/>
  <c r="S24" i="3"/>
  <c r="S25" i="3"/>
  <c r="S26" i="3"/>
  <c r="S29" i="3"/>
  <c r="S31" i="3"/>
  <c r="S38" i="3"/>
  <c r="P109" i="3"/>
  <c r="P11" i="3"/>
  <c r="P102" i="3" s="1"/>
  <c r="P47" i="3"/>
  <c r="P56" i="3"/>
  <c r="P67" i="3"/>
  <c r="P69" i="3" s="1"/>
  <c r="P104" i="3" s="1"/>
  <c r="P96" i="3"/>
  <c r="O15" i="2"/>
  <c r="O14" i="2"/>
  <c r="O12" i="2"/>
  <c r="O17" i="2"/>
  <c r="O13" i="2"/>
  <c r="Q15" i="2"/>
  <c r="Q89" i="3"/>
  <c r="Q34" i="2" s="1"/>
  <c r="M101" i="3"/>
  <c r="M95" i="3"/>
  <c r="M109" i="3" s="1"/>
  <c r="N101" i="3"/>
  <c r="N95" i="3"/>
  <c r="O109" i="3"/>
  <c r="O56" i="3"/>
  <c r="O69" i="3" s="1"/>
  <c r="O104" i="3" s="1"/>
  <c r="Q60" i="3"/>
  <c r="Q62" i="3"/>
  <c r="Q67" i="3" s="1"/>
  <c r="Q69" i="3" s="1"/>
  <c r="Q63" i="3"/>
  <c r="Q66" i="3"/>
  <c r="Q12" i="3"/>
  <c r="Q13" i="3"/>
  <c r="Q14" i="3"/>
  <c r="Q16" i="3"/>
  <c r="Q18" i="3"/>
  <c r="Q20" i="3"/>
  <c r="Q24" i="3"/>
  <c r="Q25" i="3"/>
  <c r="Q28" i="3"/>
  <c r="Q29" i="3"/>
  <c r="Q31" i="3"/>
  <c r="Q36" i="3"/>
  <c r="Q38" i="3"/>
  <c r="Q42" i="3"/>
  <c r="S11" i="3"/>
  <c r="Q12" i="2"/>
  <c r="Q13" i="2"/>
  <c r="Q14" i="2"/>
  <c r="Q17" i="2"/>
  <c r="O67" i="3"/>
  <c r="O34" i="2"/>
  <c r="O37" i="2"/>
  <c r="O40" i="2"/>
  <c r="O47" i="3"/>
  <c r="O11" i="3"/>
  <c r="O102" i="3" s="1"/>
  <c r="E109" i="3"/>
  <c r="Q109" i="3"/>
  <c r="L95" i="3"/>
  <c r="L101" i="3"/>
  <c r="L109" i="3" s="1"/>
  <c r="K95" i="3"/>
  <c r="J95" i="3"/>
  <c r="J96" i="3" s="1"/>
  <c r="K101" i="3"/>
  <c r="J101" i="3"/>
  <c r="J109" i="3" s="1"/>
  <c r="H95" i="3"/>
  <c r="F95" i="3"/>
  <c r="F37" i="2" s="1"/>
  <c r="K109" i="3"/>
  <c r="H101" i="3"/>
  <c r="H109" i="3" s="1"/>
  <c r="F101" i="3"/>
  <c r="L67" i="3"/>
  <c r="L56" i="3"/>
  <c r="L69" i="3"/>
  <c r="L92" i="3" s="1"/>
  <c r="L29" i="3"/>
  <c r="L47" i="3"/>
  <c r="L103" i="3" s="1"/>
  <c r="L11" i="3"/>
  <c r="L98" i="3"/>
  <c r="N60" i="3"/>
  <c r="N62" i="3"/>
  <c r="N63" i="3"/>
  <c r="N66" i="3"/>
  <c r="N56" i="3"/>
  <c r="N12" i="3"/>
  <c r="N13" i="3"/>
  <c r="N14" i="3"/>
  <c r="N18" i="3"/>
  <c r="N23" i="3"/>
  <c r="N25" i="3"/>
  <c r="N28" i="3"/>
  <c r="N29" i="3"/>
  <c r="N36" i="3"/>
  <c r="N38" i="3"/>
  <c r="N39" i="3"/>
  <c r="M89" i="3"/>
  <c r="K67" i="3"/>
  <c r="K56" i="3"/>
  <c r="K47" i="3"/>
  <c r="K103" i="3" s="1"/>
  <c r="K11" i="3"/>
  <c r="K102" i="3" s="1"/>
  <c r="K90" i="3"/>
  <c r="M60" i="3"/>
  <c r="M40" i="3"/>
  <c r="M25" i="3"/>
  <c r="M13" i="3"/>
  <c r="M62" i="3"/>
  <c r="M31" i="3"/>
  <c r="M15" i="3"/>
  <c r="M12" i="3"/>
  <c r="M19" i="3"/>
  <c r="M16" i="3"/>
  <c r="M14" i="3"/>
  <c r="M46" i="3"/>
  <c r="M66" i="3"/>
  <c r="M32" i="3"/>
  <c r="J56" i="3"/>
  <c r="M18" i="3"/>
  <c r="M29" i="3"/>
  <c r="M36" i="3"/>
  <c r="M39" i="3"/>
  <c r="M56" i="3"/>
  <c r="M63" i="3"/>
  <c r="J67" i="3"/>
  <c r="J69" i="3" s="1"/>
  <c r="J92" i="3" s="1"/>
  <c r="J11" i="3"/>
  <c r="J90" i="3" s="1"/>
  <c r="J47" i="3"/>
  <c r="J102" i="3"/>
  <c r="H63" i="3"/>
  <c r="F63" i="3"/>
  <c r="E67" i="3"/>
  <c r="E56" i="3"/>
  <c r="E69" i="3" s="1"/>
  <c r="E104" i="3" s="1"/>
  <c r="E47" i="3"/>
  <c r="E103" i="3" s="1"/>
  <c r="H13" i="3"/>
  <c r="H51" i="3"/>
  <c r="H56" i="3" s="1"/>
  <c r="H19" i="3"/>
  <c r="H15" i="3"/>
  <c r="H12" i="3"/>
  <c r="H29" i="3"/>
  <c r="H25" i="3"/>
  <c r="H11" i="3"/>
  <c r="H30" i="3"/>
  <c r="H36" i="3"/>
  <c r="H62" i="3"/>
  <c r="F15" i="3"/>
  <c r="F47" i="3" s="1"/>
  <c r="F62" i="3"/>
  <c r="F30" i="3"/>
  <c r="F56" i="3"/>
  <c r="F67" i="3"/>
  <c r="E11" i="3"/>
  <c r="E102" i="3" s="1"/>
  <c r="E97" i="3"/>
  <c r="E40" i="2"/>
  <c r="E37" i="2"/>
  <c r="D43" i="2"/>
  <c r="L17" i="2"/>
  <c r="L13" i="2"/>
  <c r="L12" i="2"/>
  <c r="L14" i="2"/>
  <c r="L15" i="2"/>
  <c r="L37" i="2"/>
  <c r="L34" i="2"/>
  <c r="N12" i="2"/>
  <c r="N13" i="2"/>
  <c r="N14" i="2"/>
  <c r="N15" i="2"/>
  <c r="N17" i="2"/>
  <c r="N18" i="2"/>
  <c r="Q40" i="2"/>
  <c r="Q37" i="2"/>
  <c r="K13" i="2"/>
  <c r="K14" i="2"/>
  <c r="K15" i="2"/>
  <c r="K17" i="2"/>
  <c r="J13" i="2"/>
  <c r="J14" i="2"/>
  <c r="J15" i="2"/>
  <c r="J17" i="2"/>
  <c r="H13" i="2"/>
  <c r="H14" i="2"/>
  <c r="H15" i="2"/>
  <c r="F13" i="2"/>
  <c r="F14" i="2"/>
  <c r="E13" i="2"/>
  <c r="E14" i="2"/>
  <c r="E22" i="2" s="1"/>
  <c r="E38" i="2" s="1"/>
  <c r="M12" i="2"/>
  <c r="M13" i="2"/>
  <c r="M14" i="2"/>
  <c r="M15" i="2"/>
  <c r="M17" i="2"/>
  <c r="M18" i="2"/>
  <c r="N34" i="2"/>
  <c r="N37" i="2"/>
  <c r="N40" i="2"/>
  <c r="K34" i="2"/>
  <c r="K37" i="2"/>
  <c r="K40" i="2"/>
  <c r="J40" i="2"/>
  <c r="J34" i="2"/>
  <c r="M40" i="2"/>
  <c r="M34" i="2"/>
  <c r="E34" i="2"/>
  <c r="H40" i="2"/>
  <c r="H37" i="2"/>
  <c r="H34" i="2"/>
  <c r="F34" i="2"/>
  <c r="Q104" i="3" l="1"/>
  <c r="Q92" i="3"/>
  <c r="J37" i="2"/>
  <c r="J38" i="2" s="1"/>
  <c r="L40" i="2"/>
  <c r="E91" i="3"/>
  <c r="F11" i="3"/>
  <c r="F102" i="3" s="1"/>
  <c r="M67" i="3"/>
  <c r="M69" i="3" s="1"/>
  <c r="K96" i="3"/>
  <c r="R69" i="3"/>
  <c r="R104" i="3" s="1"/>
  <c r="Z92" i="3"/>
  <c r="Z71" i="3"/>
  <c r="Z105" i="3" s="1"/>
  <c r="AC109" i="3"/>
  <c r="AC67" i="3"/>
  <c r="AC69" i="3" s="1"/>
  <c r="AB69" i="3"/>
  <c r="AD69" i="3"/>
  <c r="Y67" i="3"/>
  <c r="Y69" i="3" s="1"/>
  <c r="AG71" i="3"/>
  <c r="AG109" i="3"/>
  <c r="AG40" i="2"/>
  <c r="AG47" i="3"/>
  <c r="AG91" i="3" s="1"/>
  <c r="AG11" i="3"/>
  <c r="AG90" i="3" s="1"/>
  <c r="T91" i="3"/>
  <c r="AG38" i="2"/>
  <c r="AG35" i="2"/>
  <c r="N22" i="2"/>
  <c r="L22" i="2"/>
  <c r="P22" i="2"/>
  <c r="U22" i="2"/>
  <c r="AB91" i="3"/>
  <c r="O90" i="3"/>
  <c r="R90" i="3"/>
  <c r="AB38" i="2"/>
  <c r="H22" i="2"/>
  <c r="H38" i="2" s="1"/>
  <c r="J22" i="2"/>
  <c r="J41" i="2" s="1"/>
  <c r="K22" i="2"/>
  <c r="Q22" i="2"/>
  <c r="Q41" i="2" s="1"/>
  <c r="T22" i="2"/>
  <c r="X22" i="2"/>
  <c r="Z41" i="2"/>
  <c r="X38" i="2"/>
  <c r="O96" i="3"/>
  <c r="AB90" i="3"/>
  <c r="AB96" i="3"/>
  <c r="AI90" i="3"/>
  <c r="L41" i="2"/>
  <c r="AF104" i="3"/>
  <c r="AF92" i="3"/>
  <c r="AF98" i="3"/>
  <c r="AF99" i="3"/>
  <c r="AF93" i="3"/>
  <c r="E41" i="2"/>
  <c r="N35" i="2"/>
  <c r="Z96" i="3"/>
  <c r="H41" i="2"/>
  <c r="H35" i="2"/>
  <c r="F97" i="3"/>
  <c r="F91" i="3"/>
  <c r="AC92" i="3"/>
  <c r="AC104" i="3"/>
  <c r="AC98" i="3"/>
  <c r="M22" i="2"/>
  <c r="V104" i="3"/>
  <c r="V71" i="3"/>
  <c r="V105" i="3" s="1"/>
  <c r="V98" i="3"/>
  <c r="U67" i="3"/>
  <c r="U69" i="3" s="1"/>
  <c r="V102" i="3"/>
  <c r="V96" i="3"/>
  <c r="U11" i="3"/>
  <c r="U102" i="3" s="1"/>
  <c r="X90" i="3"/>
  <c r="X102" i="3"/>
  <c r="Z38" i="2"/>
  <c r="AE67" i="3"/>
  <c r="AG41" i="2"/>
  <c r="AD104" i="3"/>
  <c r="AD71" i="3"/>
  <c r="Z34" i="2"/>
  <c r="Z35" i="2" s="1"/>
  <c r="Z90" i="3"/>
  <c r="AD35" i="2"/>
  <c r="P34" i="2"/>
  <c r="P35" i="2" s="1"/>
  <c r="P90" i="3"/>
  <c r="AI22" i="2"/>
  <c r="AI35" i="2" s="1"/>
  <c r="H47" i="3"/>
  <c r="H91" i="3" s="1"/>
  <c r="E71" i="3"/>
  <c r="L102" i="3"/>
  <c r="L96" i="3"/>
  <c r="L90" i="3"/>
  <c r="Q35" i="2"/>
  <c r="M37" i="2"/>
  <c r="F22" i="2"/>
  <c r="F38" i="2" s="1"/>
  <c r="F69" i="3"/>
  <c r="H67" i="3"/>
  <c r="O98" i="3"/>
  <c r="O92" i="3"/>
  <c r="Q47" i="3"/>
  <c r="Q71" i="3" s="1"/>
  <c r="Q98" i="3"/>
  <c r="R92" i="3"/>
  <c r="R98" i="3"/>
  <c r="R71" i="3"/>
  <c r="Y11" i="3"/>
  <c r="Y90" i="3" s="1"/>
  <c r="V90" i="3"/>
  <c r="V103" i="3"/>
  <c r="V91" i="3"/>
  <c r="AA11" i="3"/>
  <c r="AA90" i="3" s="1"/>
  <c r="W22" i="2"/>
  <c r="W41" i="2" s="1"/>
  <c r="AC47" i="3"/>
  <c r="AC91" i="3" s="1"/>
  <c r="AD90" i="3"/>
  <c r="AD103" i="3"/>
  <c r="AD91" i="3"/>
  <c r="AI67" i="3"/>
  <c r="AI40" i="2"/>
  <c r="AD38" i="2"/>
  <c r="K69" i="3"/>
  <c r="F109" i="3"/>
  <c r="N109" i="3"/>
  <c r="R22" i="2"/>
  <c r="R35" i="2" s="1"/>
  <c r="AA22" i="2"/>
  <c r="AA38" i="2" s="1"/>
  <c r="AC22" i="2"/>
  <c r="AC38" i="2" s="1"/>
  <c r="AE47" i="3"/>
  <c r="AE69" i="3"/>
  <c r="AE22" i="2"/>
  <c r="AD41" i="2"/>
  <c r="AI47" i="3"/>
  <c r="AI103" i="3"/>
  <c r="AI102" i="3"/>
  <c r="AI96" i="3"/>
  <c r="M41" i="2"/>
  <c r="M35" i="2"/>
  <c r="K35" i="2"/>
  <c r="K38" i="2"/>
  <c r="K41" i="2"/>
  <c r="H103" i="3"/>
  <c r="H97" i="3"/>
  <c r="F35" i="2"/>
  <c r="H69" i="3"/>
  <c r="H102" i="3"/>
  <c r="H90" i="3"/>
  <c r="H96" i="3"/>
  <c r="M98" i="3"/>
  <c r="M104" i="3"/>
  <c r="M11" i="3"/>
  <c r="K97" i="3"/>
  <c r="K91" i="3"/>
  <c r="O71" i="3"/>
  <c r="O97" i="3"/>
  <c r="O91" i="3"/>
  <c r="S90" i="3"/>
  <c r="S96" i="3"/>
  <c r="S102" i="3"/>
  <c r="O22" i="2"/>
  <c r="P38" i="2"/>
  <c r="P41" i="2"/>
  <c r="S69" i="3"/>
  <c r="R105" i="3"/>
  <c r="R99" i="3"/>
  <c r="R93" i="3"/>
  <c r="R103" i="3"/>
  <c r="R97" i="3"/>
  <c r="R91" i="3"/>
  <c r="W47" i="3"/>
  <c r="W67" i="3"/>
  <c r="W69" i="3" s="1"/>
  <c r="S35" i="2"/>
  <c r="S41" i="2"/>
  <c r="Y92" i="3"/>
  <c r="Y98" i="3"/>
  <c r="Y104" i="3"/>
  <c r="V35" i="2"/>
  <c r="V38" i="2"/>
  <c r="V41" i="2"/>
  <c r="U96" i="3"/>
  <c r="U90" i="3"/>
  <c r="U47" i="3"/>
  <c r="X92" i="3"/>
  <c r="X71" i="3"/>
  <c r="X98" i="3"/>
  <c r="X104" i="3"/>
  <c r="W37" i="2"/>
  <c r="W38" i="2" s="1"/>
  <c r="W109" i="3"/>
  <c r="X35" i="2"/>
  <c r="X41" i="2"/>
  <c r="AC71" i="3"/>
  <c r="AC103" i="3"/>
  <c r="Y35" i="2"/>
  <c r="Y41" i="2"/>
  <c r="Y38" i="2"/>
  <c r="AB71" i="3"/>
  <c r="AB98" i="3"/>
  <c r="AB92" i="3"/>
  <c r="AB104" i="3"/>
  <c r="AG96" i="3"/>
  <c r="E35" i="2"/>
  <c r="F40" i="2"/>
  <c r="F41" i="2" s="1"/>
  <c r="J35" i="2"/>
  <c r="N41" i="2"/>
  <c r="N38" i="2"/>
  <c r="L35" i="2"/>
  <c r="L38" i="2"/>
  <c r="E92" i="3"/>
  <c r="E90" i="3"/>
  <c r="E98" i="3"/>
  <c r="E96" i="3"/>
  <c r="F90" i="3"/>
  <c r="F96" i="3"/>
  <c r="F103" i="3"/>
  <c r="J104" i="3"/>
  <c r="J98" i="3"/>
  <c r="J71" i="3"/>
  <c r="J91" i="3"/>
  <c r="J97" i="3"/>
  <c r="J103" i="3"/>
  <c r="M92" i="3"/>
  <c r="M47" i="3"/>
  <c r="K71" i="3"/>
  <c r="K104" i="3"/>
  <c r="N47" i="3"/>
  <c r="N11" i="3"/>
  <c r="N67" i="3"/>
  <c r="N69" i="3" s="1"/>
  <c r="L97" i="3"/>
  <c r="L91" i="3"/>
  <c r="L71" i="3"/>
  <c r="L104" i="3"/>
  <c r="O103" i="3"/>
  <c r="Q103" i="3"/>
  <c r="Q97" i="3"/>
  <c r="Q91" i="3"/>
  <c r="Q11" i="3"/>
  <c r="P92" i="3"/>
  <c r="P98" i="3"/>
  <c r="P71" i="3"/>
  <c r="P103" i="3"/>
  <c r="P97" i="3"/>
  <c r="P91" i="3"/>
  <c r="S47" i="3"/>
  <c r="U35" i="2"/>
  <c r="U38" i="2"/>
  <c r="U41" i="2"/>
  <c r="R41" i="2"/>
  <c r="R38" i="2"/>
  <c r="W11" i="3"/>
  <c r="T71" i="3"/>
  <c r="T98" i="3"/>
  <c r="T92" i="3"/>
  <c r="T102" i="3"/>
  <c r="T96" i="3"/>
  <c r="T90" i="3"/>
  <c r="S37" i="2"/>
  <c r="S38" i="2" s="1"/>
  <c r="S109" i="3"/>
  <c r="T35" i="2"/>
  <c r="T38" i="2"/>
  <c r="T41" i="2"/>
  <c r="AA102" i="3"/>
  <c r="Y47" i="3"/>
  <c r="Y71" i="3" s="1"/>
  <c r="V93" i="3"/>
  <c r="V99" i="3"/>
  <c r="U104" i="3"/>
  <c r="U98" i="3"/>
  <c r="U92" i="3"/>
  <c r="AA91" i="3"/>
  <c r="AA97" i="3"/>
  <c r="AA103" i="3"/>
  <c r="AC97" i="3"/>
  <c r="X96" i="3"/>
  <c r="AA67" i="3"/>
  <c r="AA69" i="3" s="1"/>
  <c r="X91" i="3"/>
  <c r="X97" i="3"/>
  <c r="X103" i="3"/>
  <c r="W35" i="2"/>
  <c r="AC35" i="2"/>
  <c r="AC41" i="2"/>
  <c r="AE103" i="3"/>
  <c r="AE97" i="3"/>
  <c r="AE91" i="3"/>
  <c r="AE71" i="3"/>
  <c r="AE104" i="3"/>
  <c r="AE98" i="3"/>
  <c r="AE92" i="3"/>
  <c r="AE35" i="2"/>
  <c r="AE38" i="2"/>
  <c r="AE41" i="2"/>
  <c r="AE11" i="3"/>
  <c r="Z93" i="3"/>
  <c r="Z91" i="3"/>
  <c r="Z99" i="3"/>
  <c r="Z97" i="3"/>
  <c r="AC11" i="3"/>
  <c r="AG103" i="3"/>
  <c r="AG97" i="3"/>
  <c r="AB35" i="2"/>
  <c r="AB41" i="2"/>
  <c r="AD92" i="3"/>
  <c r="AD98" i="3"/>
  <c r="Y96" i="3" l="1"/>
  <c r="AA96" i="3"/>
  <c r="Y102" i="3"/>
  <c r="AG102" i="3"/>
  <c r="AI41" i="2"/>
  <c r="M38" i="2"/>
  <c r="Q38" i="2"/>
  <c r="AA41" i="2"/>
  <c r="AI91" i="3"/>
  <c r="AI97" i="3"/>
  <c r="Q99" i="3"/>
  <c r="Q105" i="3"/>
  <c r="Q93" i="3"/>
  <c r="AA35" i="2"/>
  <c r="E105" i="3"/>
  <c r="E99" i="3"/>
  <c r="E93" i="3"/>
  <c r="AI38" i="2"/>
  <c r="AD99" i="3"/>
  <c r="AD105" i="3"/>
  <c r="AD93" i="3"/>
  <c r="AG92" i="3"/>
  <c r="K92" i="3"/>
  <c r="K98" i="3"/>
  <c r="AI69" i="3"/>
  <c r="F104" i="3"/>
  <c r="F92" i="3"/>
  <c r="F71" i="3"/>
  <c r="F98" i="3"/>
  <c r="Y93" i="3"/>
  <c r="Y99" i="3"/>
  <c r="Y105" i="3"/>
  <c r="W102" i="3"/>
  <c r="W96" i="3"/>
  <c r="W90" i="3"/>
  <c r="M91" i="3"/>
  <c r="M97" i="3"/>
  <c r="M103" i="3"/>
  <c r="AB105" i="3"/>
  <c r="AB99" i="3"/>
  <c r="AB93" i="3"/>
  <c r="AC93" i="3"/>
  <c r="AC105" i="3"/>
  <c r="AC99" i="3"/>
  <c r="W103" i="3"/>
  <c r="W97" i="3"/>
  <c r="W91" i="3"/>
  <c r="O99" i="3"/>
  <c r="O93" i="3"/>
  <c r="O105" i="3"/>
  <c r="M71" i="3"/>
  <c r="H71" i="3"/>
  <c r="H92" i="3"/>
  <c r="H98" i="3"/>
  <c r="H104" i="3"/>
  <c r="Y91" i="3"/>
  <c r="Y97" i="3"/>
  <c r="Y103" i="3"/>
  <c r="Q102" i="3"/>
  <c r="Q96" i="3"/>
  <c r="Q90" i="3"/>
  <c r="L99" i="3"/>
  <c r="L93" i="3"/>
  <c r="L105" i="3"/>
  <c r="N102" i="3"/>
  <c r="N96" i="3"/>
  <c r="N90" i="3"/>
  <c r="AC90" i="3"/>
  <c r="AC96" i="3"/>
  <c r="AC102" i="3"/>
  <c r="AE102" i="3"/>
  <c r="AE96" i="3"/>
  <c r="AE90" i="3"/>
  <c r="AE105" i="3"/>
  <c r="AE99" i="3"/>
  <c r="AE93" i="3"/>
  <c r="AA71" i="3"/>
  <c r="AA92" i="3"/>
  <c r="AA98" i="3"/>
  <c r="AA104" i="3"/>
  <c r="T105" i="3"/>
  <c r="T99" i="3"/>
  <c r="T93" i="3"/>
  <c r="S91" i="3"/>
  <c r="S97" i="3"/>
  <c r="S103" i="3"/>
  <c r="P105" i="3"/>
  <c r="P99" i="3"/>
  <c r="P93" i="3"/>
  <c r="N104" i="3"/>
  <c r="N98" i="3"/>
  <c r="N92" i="3"/>
  <c r="N71" i="3"/>
  <c r="N103" i="3"/>
  <c r="N97" i="3"/>
  <c r="N91" i="3"/>
  <c r="K99" i="3"/>
  <c r="K93" i="3"/>
  <c r="K105" i="3"/>
  <c r="J93" i="3"/>
  <c r="J99" i="3"/>
  <c r="J105" i="3"/>
  <c r="X93" i="3"/>
  <c r="X99" i="3"/>
  <c r="X105" i="3"/>
  <c r="U97" i="3"/>
  <c r="U91" i="3"/>
  <c r="U103" i="3"/>
  <c r="U71" i="3"/>
  <c r="W98" i="3"/>
  <c r="W92" i="3"/>
  <c r="W71" i="3"/>
  <c r="W104" i="3"/>
  <c r="S92" i="3"/>
  <c r="S98" i="3"/>
  <c r="S104" i="3"/>
  <c r="S71" i="3"/>
  <c r="O35" i="2"/>
  <c r="O38" i="2"/>
  <c r="O41" i="2"/>
  <c r="M96" i="3"/>
  <c r="M102" i="3"/>
  <c r="M90" i="3"/>
  <c r="F105" i="3" l="1"/>
  <c r="F99" i="3"/>
  <c r="F93" i="3"/>
  <c r="AI71" i="3"/>
  <c r="AI104" i="3"/>
  <c r="AI92" i="3"/>
  <c r="AI98" i="3"/>
  <c r="AG93" i="3"/>
  <c r="AG104" i="3"/>
  <c r="AG98" i="3"/>
  <c r="M93" i="3"/>
  <c r="M99" i="3"/>
  <c r="M105" i="3"/>
  <c r="W105" i="3"/>
  <c r="W99" i="3"/>
  <c r="W93" i="3"/>
  <c r="S93" i="3"/>
  <c r="S99" i="3"/>
  <c r="S105" i="3"/>
  <c r="U105" i="3"/>
  <c r="U99" i="3"/>
  <c r="U93" i="3"/>
  <c r="N105" i="3"/>
  <c r="N99" i="3"/>
  <c r="N93" i="3"/>
  <c r="AA93" i="3"/>
  <c r="AA99" i="3"/>
  <c r="AA105" i="3"/>
  <c r="H105" i="3"/>
  <c r="H93" i="3"/>
  <c r="H99" i="3"/>
  <c r="AG105" i="3" l="1"/>
  <c r="AG99" i="3"/>
  <c r="AI93" i="3"/>
  <c r="AI105" i="3"/>
  <c r="AI99" i="3"/>
</calcChain>
</file>

<file path=xl/comments1.xml><?xml version="1.0" encoding="utf-8"?>
<comments xmlns="http://schemas.openxmlformats.org/spreadsheetml/2006/main">
  <authors>
    <author>Bakeš Karel Ing.</author>
  </authors>
  <commentList>
    <comment ref="AF14" authorId="0">
      <text>
        <r>
          <rPr>
            <b/>
            <sz val="9"/>
            <color indexed="81"/>
            <rFont val="Tahoma"/>
            <family val="2"/>
            <charset val="238"/>
          </rPr>
          <t>Bakeš Karel Ing.:</t>
        </r>
        <r>
          <rPr>
            <sz val="9"/>
            <color indexed="81"/>
            <rFont val="Tahoma"/>
            <family val="2"/>
            <charset val="238"/>
          </rPr>
          <t xml:space="preserve">
z toho zahraniční zdroje 3 274 tis. Kč</t>
        </r>
      </text>
    </comment>
    <comment ref="AO14" authorId="0">
      <text>
        <r>
          <rPr>
            <b/>
            <sz val="9"/>
            <color indexed="81"/>
            <rFont val="Tahoma"/>
            <charset val="1"/>
          </rPr>
          <t>Bakeš Karel Ing.:</t>
        </r>
        <r>
          <rPr>
            <sz val="9"/>
            <color indexed="81"/>
            <rFont val="Tahoma"/>
            <charset val="1"/>
          </rPr>
          <t xml:space="preserve">
z toho zahr.zdroje 24 875 tis. Kč</t>
        </r>
      </text>
    </comment>
  </commentList>
</comments>
</file>

<file path=xl/sharedStrings.xml><?xml version="1.0" encoding="utf-8"?>
<sst xmlns="http://schemas.openxmlformats.org/spreadsheetml/2006/main" count="206" uniqueCount="129">
  <si>
    <t>VÝVOJ MANDATORNÍCH VÝDAJŮ</t>
  </si>
  <si>
    <t>č. ř.</t>
  </si>
  <si>
    <t>index</t>
  </si>
  <si>
    <t>TITUL MANDATORNÍCH VÝDAJŮ</t>
  </si>
  <si>
    <t>skuteč.</t>
  </si>
  <si>
    <t>rozpočet</t>
  </si>
  <si>
    <t>v mil. Kč</t>
  </si>
  <si>
    <t>A. MANDATORNÍ VÝDAJE VYPLÝVAJÍCÍ ZE ZÁKONA</t>
  </si>
  <si>
    <t>Dávky nemocenského pojištění</t>
  </si>
  <si>
    <t>Státní příspěvek k penzijnímu pojištění</t>
  </si>
  <si>
    <t>Platba státu do zdravotního pojištění - VPS</t>
  </si>
  <si>
    <t>Výdaje na dluhovou službu</t>
  </si>
  <si>
    <t xml:space="preserve">Příspěvek státu na podporu stavebního spoření </t>
  </si>
  <si>
    <t xml:space="preserve">Výdaje na volby a příspěvek politickým stranám </t>
  </si>
  <si>
    <t>Pozemkové úpravy</t>
  </si>
  <si>
    <t>Úřad pro dohled nad družstevními záložnami</t>
  </si>
  <si>
    <t xml:space="preserve">Odchod. a náhr. za ztrátu na platu pro pracovníky HZS </t>
  </si>
  <si>
    <t>Bezpečnost a ochrana zdraví  při práci</t>
  </si>
  <si>
    <t>CELKEM MANDATORNÍ VÝDAJE VYPLÝVAJÍCÍ ZE ZÁKONA</t>
  </si>
  <si>
    <t xml:space="preserve">B. OSTATNÍ  MANDATORNÍ VÝDAJE </t>
  </si>
  <si>
    <t>I. VÝDAJE VYPLÝVAJÍCÍ Z JINÝCH PRÁVNÍCH NOREM</t>
  </si>
  <si>
    <t xml:space="preserve">Státní podpora hypotéčního úvěrování </t>
  </si>
  <si>
    <t>Novomanželské půjčky</t>
  </si>
  <si>
    <t>Vyplacení jednorázové náhrady ke zmírnění 
 některých křivd způsobených komunistickým režimem</t>
  </si>
  <si>
    <t>Souhrnné pojištění vozidel</t>
  </si>
  <si>
    <t>C E L K E M</t>
  </si>
  <si>
    <t>II. VÝDAJE VYPLÝVAJÍCÍ ZE SMLUVNÍCH ZÁVAZKŮ</t>
  </si>
  <si>
    <t>Úhrada realizovaných kurzových ztrát při splátkách
jistiny zahraničního státního dluhu</t>
  </si>
  <si>
    <t>Platba úroků za úvěry se zárukou, poskytnuté nemocnicím</t>
  </si>
  <si>
    <t>MANDATORNÍ VÝDAJE CELKEM (A+B)</t>
  </si>
  <si>
    <t>poznámky:</t>
  </si>
  <si>
    <t>Podílové ukazatele</t>
  </si>
  <si>
    <t>Podíl celkových mand. výdajů ze zákona (A) na HDP</t>
  </si>
  <si>
    <t>Podíl ostatních mand. výdajů (B) na HDP</t>
  </si>
  <si>
    <t>Podíl celkových mand. výdajů  (A+B) na HDP</t>
  </si>
  <si>
    <t>Podíl celkových mand. výdajů ze zákona (A) na výdajích SR</t>
  </si>
  <si>
    <t>Podíl ostatních mand. výdajů (B) na výdajích SR</t>
  </si>
  <si>
    <t>Podíl celkových mand. výdajů  (A+B) na výdajích SR</t>
  </si>
  <si>
    <t>Podíl celkových mand. výdajů ze zákona (A) na příjmech SR</t>
  </si>
  <si>
    <t>Podíl ostatních mand. výdajů (B) na příjmech SR</t>
  </si>
  <si>
    <t>Podíl celkových mand. výdajů  (A+B) na příjmech SR</t>
  </si>
  <si>
    <t>Investiční pobídky - na daňovou povinnost</t>
  </si>
  <si>
    <t>2)</t>
  </si>
  <si>
    <t>2) v roce 2000 uhrazeno z rezervy na sociální problémy</t>
  </si>
  <si>
    <t xml:space="preserve">OSTATNÍ  QUASI MANDATORNÍ VÝDAJE </t>
  </si>
  <si>
    <t>1)</t>
  </si>
  <si>
    <t>VÝVOJ QUASI MANDATORNÍCH VÝDAJŮ</t>
  </si>
  <si>
    <t>Podíl quasi mand. výdajů   na příjmech SR</t>
  </si>
  <si>
    <t>Podíl quasi mand. výdajů   na výdajích SR</t>
  </si>
  <si>
    <t>Podíl quasi mand. výdajů   na HDP</t>
  </si>
  <si>
    <t>Ochrana zaměstnanců při platební neschopnosti zaměstnavatelů</t>
  </si>
  <si>
    <t>Majetková újma pojišťoven z provozování zákonného pojištění odpovědnosti zaměstnavatele za škodu při pracovním úrazu a nemoci z povolání</t>
  </si>
  <si>
    <t xml:space="preserve"> CELKEM </t>
  </si>
  <si>
    <t>Dávky sociální péče prostřednictvím OkÚ a obcí</t>
  </si>
  <si>
    <t>Výběrová dětská rekreace - dětské domovy a ÚSP</t>
  </si>
  <si>
    <t>Vládní úvěry vč. plynárenských VIA a poplatků za ved.účtů</t>
  </si>
  <si>
    <t xml:space="preserve">Kap. Min. obrany - bez soc. dávek </t>
  </si>
  <si>
    <t>CELKEM OSTATNÍ MANDATORNÍ VÝDAJE (B/I A B/II)</t>
  </si>
  <si>
    <t>Podíl sociálních transferů celkem vč.ochr.zam. (ř. 1.) na HDP</t>
  </si>
  <si>
    <t>Podíl sociálních transferů celkem vč.ochr.zam. (ř. 1.) na výdajích SR</t>
  </si>
  <si>
    <t>Podíl sociálních transferů celkem vč.ochr.zam. (ř. 1.) na příjmech SR</t>
  </si>
  <si>
    <t>7A</t>
  </si>
  <si>
    <t>Výdaje státního rozpočtu (v mil. Kč)</t>
  </si>
  <si>
    <t>Příjmy státního rozpočtu (v mil. Kč)</t>
  </si>
  <si>
    <t>Majetková újma peněžních ústavů</t>
  </si>
  <si>
    <t xml:space="preserve"> skuteč.</t>
  </si>
  <si>
    <t>Vypořádání závazků ČR vůči CME a Housing&amp;Construction</t>
  </si>
  <si>
    <t xml:space="preserve">     zahrnuty částečně v jiných výdajích)</t>
  </si>
  <si>
    <t>Aktivní politika zaměstnanosti (bez kap. výdajů, bez prostředků EU)</t>
  </si>
  <si>
    <t>Minimální povinný příděl do FKSP státním podnikům</t>
  </si>
  <si>
    <t xml:space="preserve">Úhrada ztráty z univerzální služby podle z.č. 127/2005 Sb. </t>
  </si>
  <si>
    <t>Odvody a příspěvky  do rozpočtu EU</t>
  </si>
  <si>
    <t>Mzdy OSS a  příspěvk. organizací vč. poj. a FKSP</t>
  </si>
  <si>
    <t>8A</t>
  </si>
  <si>
    <t>8B</t>
  </si>
  <si>
    <t>Sociální transfery vč. ochrany zaměstnanců a mandatorních sociálních dotací (ř. 2 až 8B)</t>
  </si>
  <si>
    <t>1)  ve skut. 2004 vliv výplaty jednorázových dávek</t>
  </si>
  <si>
    <t>3) v roce 2001 vč. prostředků na úhradu záporného salda pojistného na důchodové pojištění (výdaj kapitoly OSFA ve výši 4 384 mil. Kč)</t>
  </si>
  <si>
    <t xml:space="preserve">4) nárokové dotace zaměstnavatelům na základě právních předpisů určené na výplatu sociálních příspěvků zaměstnancům a na podporu zaměstnávání osob se sníženou pracovní schopností (v minulých letech byly prostředky </t>
  </si>
  <si>
    <t>HDP v běžných cenách (v mld. Kč)   *)</t>
  </si>
  <si>
    <r>
      <t xml:space="preserve">Dávky důchodového pojištění (vč.ozbrojených složek)  </t>
    </r>
    <r>
      <rPr>
        <vertAlign val="superscript"/>
        <sz val="10"/>
        <rFont val="Times New Roman CE"/>
        <family val="1"/>
        <charset val="238"/>
      </rPr>
      <t>3)</t>
    </r>
  </si>
  <si>
    <r>
      <t xml:space="preserve">Mandatorní sociální dotace zaměstnavatelům  </t>
    </r>
    <r>
      <rPr>
        <vertAlign val="superscript"/>
        <sz val="10"/>
        <rFont val="Times New Roman CE"/>
        <family val="1"/>
        <charset val="238"/>
      </rPr>
      <t>4)</t>
    </r>
  </si>
  <si>
    <r>
      <t xml:space="preserve">Jednorázová peněžní náhrada příslušníkům zahr.armád </t>
    </r>
    <r>
      <rPr>
        <vertAlign val="superscript"/>
        <sz val="10"/>
        <rFont val="Times New Roman CE"/>
        <family val="1"/>
        <charset val="238"/>
      </rPr>
      <t>2)</t>
    </r>
  </si>
  <si>
    <t>1) v roce 2001 a 2002 vč. mezd a poj. a FKSP v kapitole Okresní úřady, které nebyly v min.letech součástí výdajů  SR, v roce 2003 bez zrušené kapitoly Okresní úřady</t>
  </si>
  <si>
    <t xml:space="preserve">    v roce 2007 vliv převodu příspěvkových organizací na veřejné výzkumné instituce</t>
  </si>
  <si>
    <r>
      <t xml:space="preserve">Dotace státním fondům -  (od r. 2005   pouze správní 
výdaje SZIF) </t>
    </r>
    <r>
      <rPr>
        <vertAlign val="superscript"/>
        <sz val="10"/>
        <rFont val="Times New Roman CE"/>
        <family val="1"/>
        <charset val="238"/>
      </rPr>
      <t>5)</t>
    </r>
  </si>
  <si>
    <t xml:space="preserve">skuteč. </t>
  </si>
  <si>
    <t>6)</t>
  </si>
  <si>
    <r>
      <t xml:space="preserve">Transfery mezinárodním  organizacím, platby MMF, SB, Česko německý fond budoucnosti </t>
    </r>
    <r>
      <rPr>
        <sz val="9"/>
        <rFont val="Times New Roman CE"/>
        <family val="1"/>
        <charset val="238"/>
      </rPr>
      <t>(v r. 2007  a 2008 v kap. MZV)</t>
    </r>
  </si>
  <si>
    <t>3)</t>
  </si>
  <si>
    <r>
      <t xml:space="preserve">Zdravotní péče azylantům a cizincům  </t>
    </r>
    <r>
      <rPr>
        <sz val="9"/>
        <rFont val="Times New Roman CE"/>
        <family val="1"/>
        <charset val="238"/>
      </rPr>
      <t>(od r. 2008 v rozpočtu  kap. Min. vnitra)</t>
    </r>
  </si>
  <si>
    <t xml:space="preserve">    rok 2007 - další prostředky na platy zahrnuty v  kap. Všeobecná pokladní správa </t>
  </si>
  <si>
    <r>
      <t xml:space="preserve">Zahr. pomoc, humanitární pomoc (od r. 2009 v přísl. kapitolách), Viségradský fond </t>
    </r>
    <r>
      <rPr>
        <sz val="8"/>
        <rFont val="Times New Roman CE"/>
        <family val="1"/>
        <charset val="238"/>
      </rPr>
      <t>(do r. 2003)</t>
    </r>
  </si>
  <si>
    <t>Soudní a mimosoud. rehab.a odškod. obětem trestní čin. a ost. náhrady</t>
  </si>
  <si>
    <t xml:space="preserve">Poplatky dluhové služby vč. úmoru st. dluhu od r. 2008 </t>
  </si>
  <si>
    <t>5) v letech 2000-2004 zahrnuje dotace SZIF na regulaci trhu a správní výdaje, v r. 2000 zahrnuje i dotaci SFDI ve výši 3139 mil. Kč a v r. 2001 i dotaci SF ČR pro podporu a rozvoj české kinematografie ve výši 10 mil. Kč</t>
  </si>
  <si>
    <t xml:space="preserve">     rok 2009 - vyloučeno z regulace zaměstnanosti: RegŠ územních celků Operační program Vzdělávání pro konkurenceschopnost podle bodu VI/4 UV č. 1194/2008 a podle bodu III UV č. 1251/2008  </t>
  </si>
  <si>
    <t>Platy duchovních a administrativy vč. pojistného (od r. 2008 bez administrativy)</t>
  </si>
  <si>
    <t>Jednorázová částka účastníkům národního boje a dalším osobám podle z.č. 261/2001 Sb. a odškodnění podle z.č. 172/2002 Sb. a další odškodnění osob (v r. 2008 a 2009 pouze dopad z.č. 357/2005 Sb.; v roce 2010 z.č. 357/2005, z.č. 212/2009 Sb. a NV č. 135/2009 Sb.)</t>
  </si>
  <si>
    <t>Podpory v nezaměstnanosti</t>
  </si>
  <si>
    <t>7) od roku 2012 se nejedná o transfer, ale o výdaj realizovaný přes Úřad práce ČR</t>
  </si>
  <si>
    <t xml:space="preserve">     rok 2012 - v pojistném zahrnuto i pojistné z náhrad ústavních činitelů</t>
  </si>
  <si>
    <t>3) od r. 2008 bez platů a pojistného na administrativu; od roku 2013 příspěvek na podporu činnosti dotčených církví a náboženských společností</t>
  </si>
  <si>
    <t>Výdaje podle zákona o majektovém vyrovnání s církvemi a náboženskými společnostmi - finanční náhrada</t>
  </si>
  <si>
    <t>8) v roce 2013 prostředky rezervovány v kap. VPS ve výši  1 967 mil. Kč</t>
  </si>
  <si>
    <t>9)</t>
  </si>
  <si>
    <t>rozpočet **)</t>
  </si>
  <si>
    <t>**) zákon č. 504/2012 Sb., o státním rozpočtu ČR na rok 2013, ve znění zákona č. 258/2013 Sb. a ve znění zákona č. 475/2013 Sb.</t>
  </si>
  <si>
    <r>
      <t xml:space="preserve">Dávky státní sociální podpory </t>
    </r>
    <r>
      <rPr>
        <vertAlign val="superscript"/>
        <sz val="10"/>
        <rFont val="Times New Roman CE"/>
        <family val="1"/>
        <charset val="238"/>
      </rPr>
      <t xml:space="preserve">1)  </t>
    </r>
    <r>
      <rPr>
        <sz val="10"/>
        <rFont val="Times New Roman CE"/>
        <charset val="238"/>
      </rPr>
      <t>a pěstounské péče</t>
    </r>
  </si>
  <si>
    <r>
      <t xml:space="preserve">Ostatní sociální dávky </t>
    </r>
    <r>
      <rPr>
        <vertAlign val="superscript"/>
        <sz val="10"/>
        <rFont val="Times New Roman CE"/>
        <charset val="238"/>
      </rPr>
      <t>10)</t>
    </r>
  </si>
  <si>
    <t>10) zvláštní dávky ozbrojených sborů a ostatní dávky povahy sociálního zabezpečení</t>
  </si>
  <si>
    <t>Podpora exportu -MF, EGAP, ČEB (bez dorovnání úrok. rozdílů u vývoz. úvěrů)</t>
  </si>
  <si>
    <t>2) výdaje pro Viségradský fond od r. 2004 v pol. Transfery do zahraničí; v r. 2012 vč. prostředků EU 3 mil. Kč; v r. 2015 bez částky 8 mil. Kč na pomoc Ukrajině podle UV č. 167/2014</t>
  </si>
  <si>
    <r>
      <t xml:space="preserve">Transfery na dávky pomoci v hmotné nouzi a na dávky zdravotně postiženým  </t>
    </r>
    <r>
      <rPr>
        <vertAlign val="superscript"/>
        <sz val="10"/>
        <rFont val="Times New Roman CE"/>
        <charset val="238"/>
      </rPr>
      <t>7</t>
    </r>
    <r>
      <rPr>
        <sz val="10"/>
        <rFont val="Times New Roman CE"/>
        <family val="1"/>
        <charset val="238"/>
      </rPr>
      <t>)</t>
    </r>
  </si>
  <si>
    <r>
      <t xml:space="preserve">Transfery na příspěvek na péči podle zákona o sociálních službách  </t>
    </r>
    <r>
      <rPr>
        <vertAlign val="superscript"/>
        <sz val="10"/>
        <rFont val="Times New Roman CE"/>
        <charset val="238"/>
      </rPr>
      <t>7)</t>
    </r>
  </si>
  <si>
    <t>rozdíl příjmů a výdajů SR</t>
  </si>
  <si>
    <t>kap. ČTÚ - čisté náklady představující nespravedlivou finanční zátěž držiteli poštovní licence</t>
  </si>
  <si>
    <t>11) prostředky rozpočtovány v kap. ČTÚ od r. 2016, od r. 2017 v samostatném ukazateli</t>
  </si>
  <si>
    <t>11)</t>
  </si>
  <si>
    <t>Státní záruky (bez záruk za přijaté úvěry ČMZRB) a negarantované úvěry s.o. Správa železniční dopravní cesty podle z.č. 77/2002 Sb.</t>
  </si>
  <si>
    <t xml:space="preserve">6) vč. prostředků převedených od r. 2008 do kap. MZV a  bez prostředků převedených do kap. Státní dluh; od r. 2014 změna vykazování v důsledku přijeí UV č. 317/2013:  zahrnuty výdaje na pol. 5511+5512 (od r. 2018 i podseskupení položek 554), </t>
  </si>
  <si>
    <t>a to ve všech kapitolách kromě MO,  v kap. VPS zahrnuty  platby mezin. fin. institucím a fondům   (srovnatelně rok 2013 částka 3 950 mil. Kč); výdaje MO zahrnuty v quasi mandatorních výdajích</t>
  </si>
  <si>
    <t>Dotace na obnovitelné zdroje</t>
  </si>
  <si>
    <t xml:space="preserve"> (bez mezd zahrnutých v kapitole MO v rámci 
 vojenských výdajů a bez kap. VPS), vč. EU - (od roku 2014 bez pojistného za pěstouny)</t>
  </si>
  <si>
    <t>Příloha č. 1</t>
  </si>
  <si>
    <t>2020/2019</t>
  </si>
  <si>
    <t>12/11</t>
  </si>
  <si>
    <t xml:space="preserve">9) od roku 2014 prostředky převedeny do kapitol; od roku 2014 zahrnuty i další odškodnění zahrnutá v kapitolách MPSV, MV, Mspr, MO, VPS (odškodnění a náhrady obyvatelstvu evidované na POL 5422 a 5429 a od roku 2019 na pol. 5811, kap.  MPSV, MV, MS VPS:  pododdíl  419*,  MO:   pododdíl:  516* a 519*)
</t>
  </si>
  <si>
    <t>*) HDP podle aktualizace  makroekonomické predikce z července 2019, aktualizace k 21. srpnu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</si>
</sst>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0"/>
      <name val="Arial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0"/>
      <color indexed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i/>
      <sz val="10"/>
      <color indexed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0"/>
      <color indexed="12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sz val="10"/>
      <color indexed="10"/>
      <name val="Times New Roman CE"/>
      <family val="1"/>
      <charset val="238"/>
    </font>
    <font>
      <b/>
      <sz val="12"/>
      <color indexed="12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b/>
      <sz val="10"/>
      <color indexed="56"/>
      <name val="Times New Roman CE"/>
      <family val="1"/>
      <charset val="238"/>
    </font>
    <font>
      <b/>
      <sz val="10"/>
      <color indexed="12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color indexed="10"/>
      <name val="Times New Roman CE"/>
      <family val="1"/>
      <charset val="238"/>
    </font>
    <font>
      <sz val="8"/>
      <color indexed="12"/>
      <name val="Times New Roman CE"/>
      <family val="1"/>
      <charset val="238"/>
    </font>
    <font>
      <strike/>
      <sz val="8"/>
      <name val="Times New Roman CE"/>
      <family val="1"/>
      <charset val="238"/>
    </font>
    <font>
      <sz val="10"/>
      <name val="Times New Roman CE"/>
      <charset val="238"/>
    </font>
    <font>
      <vertAlign val="superscript"/>
      <sz val="10"/>
      <name val="Times New Roman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trike/>
      <sz val="10"/>
      <name val="Times New Roman CE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5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55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1" fillId="0" borderId="1" xfId="0" applyFont="1" applyBorder="1"/>
    <xf numFmtId="0" fontId="1" fillId="0" borderId="2" xfId="0" applyFont="1" applyBorder="1"/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1" fillId="0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applyFont="1" applyFill="1" applyBorder="1" applyAlignment="1">
      <alignment horizontal="centerContinuous"/>
    </xf>
    <xf numFmtId="0" fontId="3" fillId="0" borderId="9" xfId="0" applyFont="1" applyFill="1" applyBorder="1" applyAlignment="1">
      <alignment horizontal="centerContinuous"/>
    </xf>
    <xf numFmtId="0" fontId="3" fillId="2" borderId="8" xfId="0" applyFont="1" applyFill="1" applyBorder="1" applyAlignment="1">
      <alignment horizontal="centerContinuous"/>
    </xf>
    <xf numFmtId="0" fontId="3" fillId="0" borderId="10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2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/>
    </xf>
    <xf numFmtId="3" fontId="4" fillId="0" borderId="8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right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3" fontId="7" fillId="0" borderId="8" xfId="0" applyNumberFormat="1" applyFont="1" applyFill="1" applyBorder="1"/>
    <xf numFmtId="3" fontId="7" fillId="2" borderId="8" xfId="0" applyNumberFormat="1" applyFont="1" applyFill="1" applyBorder="1"/>
    <xf numFmtId="164" fontId="8" fillId="0" borderId="10" xfId="0" applyNumberFormat="1" applyFont="1" applyFill="1" applyBorder="1"/>
    <xf numFmtId="2" fontId="9" fillId="0" borderId="0" xfId="0" applyNumberFormat="1" applyFont="1" applyBorder="1"/>
    <xf numFmtId="0" fontId="1" fillId="0" borderId="8" xfId="0" applyFont="1" applyBorder="1" applyAlignment="1">
      <alignment vertical="center" wrapText="1"/>
    </xf>
    <xf numFmtId="3" fontId="1" fillId="0" borderId="8" xfId="0" applyNumberFormat="1" applyFont="1" applyFill="1" applyBorder="1" applyAlignment="1"/>
    <xf numFmtId="3" fontId="1" fillId="2" borderId="8" xfId="0" applyNumberFormat="1" applyFont="1" applyFill="1" applyBorder="1" applyAlignment="1"/>
    <xf numFmtId="164" fontId="1" fillId="0" borderId="10" xfId="0" applyNumberFormat="1" applyFont="1" applyFill="1" applyBorder="1" applyAlignment="1"/>
    <xf numFmtId="2" fontId="5" fillId="0" borderId="0" xfId="0" applyNumberFormat="1" applyFont="1" applyBorder="1" applyAlignment="1"/>
    <xf numFmtId="3" fontId="1" fillId="0" borderId="8" xfId="0" applyNumberFormat="1" applyFont="1" applyFill="1" applyBorder="1"/>
    <xf numFmtId="3" fontId="1" fillId="2" borderId="8" xfId="0" applyNumberFormat="1" applyFont="1" applyFill="1" applyBorder="1"/>
    <xf numFmtId="164" fontId="1" fillId="0" borderId="10" xfId="0" applyNumberFormat="1" applyFont="1" applyFill="1" applyBorder="1"/>
    <xf numFmtId="2" fontId="5" fillId="0" borderId="0" xfId="0" applyNumberFormat="1" applyFont="1" applyBorder="1"/>
    <xf numFmtId="0" fontId="1" fillId="0" borderId="7" xfId="0" applyFont="1" applyBorder="1" applyAlignment="1">
      <alignment horizontal="right" vertical="center" wrapText="1"/>
    </xf>
    <xf numFmtId="0" fontId="1" fillId="0" borderId="8" xfId="0" applyFont="1" applyBorder="1"/>
    <xf numFmtId="3" fontId="1" fillId="0" borderId="8" xfId="0" applyNumberFormat="1" applyFont="1" applyFill="1" applyBorder="1" applyAlignment="1">
      <alignment horizontal="right" wrapText="1"/>
    </xf>
    <xf numFmtId="3" fontId="1" fillId="2" borderId="8" xfId="0" applyNumberFormat="1" applyFont="1" applyFill="1" applyBorder="1" applyAlignment="1">
      <alignment horizontal="right" wrapText="1"/>
    </xf>
    <xf numFmtId="164" fontId="1" fillId="0" borderId="10" xfId="0" applyNumberFormat="1" applyFont="1" applyFill="1" applyBorder="1" applyAlignment="1">
      <alignment horizontal="right" wrapText="1"/>
    </xf>
    <xf numFmtId="2" fontId="5" fillId="0" borderId="0" xfId="0" applyNumberFormat="1" applyFont="1" applyBorder="1" applyAlignment="1">
      <alignment horizontal="right" wrapText="1"/>
    </xf>
    <xf numFmtId="0" fontId="1" fillId="0" borderId="6" xfId="0" applyFont="1" applyBorder="1" applyAlignment="1">
      <alignment vertical="center" wrapText="1"/>
    </xf>
    <xf numFmtId="3" fontId="1" fillId="0" borderId="6" xfId="0" applyNumberFormat="1" applyFont="1" applyFill="1" applyBorder="1"/>
    <xf numFmtId="3" fontId="1" fillId="2" borderId="6" xfId="0" applyNumberFormat="1" applyFont="1" applyFill="1" applyBorder="1"/>
    <xf numFmtId="164" fontId="1" fillId="0" borderId="15" xfId="0" applyNumberFormat="1" applyFont="1" applyFill="1" applyBorder="1"/>
    <xf numFmtId="0" fontId="1" fillId="0" borderId="16" xfId="0" applyFont="1" applyBorder="1" applyAlignment="1">
      <alignment vertical="center" wrapText="1"/>
    </xf>
    <xf numFmtId="3" fontId="1" fillId="0" borderId="16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164" fontId="1" fillId="0" borderId="17" xfId="0" applyNumberFormat="1" applyFont="1" applyFill="1" applyBorder="1" applyAlignment="1">
      <alignment vertical="center"/>
    </xf>
    <xf numFmtId="0" fontId="1" fillId="0" borderId="18" xfId="0" applyFont="1" applyBorder="1" applyAlignment="1">
      <alignment vertical="center" wrapText="1"/>
    </xf>
    <xf numFmtId="3" fontId="1" fillId="0" borderId="18" xfId="0" applyNumberFormat="1" applyFont="1" applyFill="1" applyBorder="1" applyAlignment="1">
      <alignment horizontal="right" wrapText="1"/>
    </xf>
    <xf numFmtId="3" fontId="1" fillId="0" borderId="16" xfId="0" applyNumberFormat="1" applyFont="1" applyFill="1" applyBorder="1" applyAlignment="1">
      <alignment horizontal="right" wrapText="1"/>
    </xf>
    <xf numFmtId="3" fontId="1" fillId="2" borderId="18" xfId="0" applyNumberFormat="1" applyFont="1" applyFill="1" applyBorder="1" applyAlignment="1">
      <alignment horizontal="right" wrapText="1"/>
    </xf>
    <xf numFmtId="0" fontId="1" fillId="0" borderId="19" xfId="0" applyFont="1" applyBorder="1" applyAlignment="1">
      <alignment vertical="center" wrapText="1"/>
    </xf>
    <xf numFmtId="3" fontId="1" fillId="2" borderId="16" xfId="0" applyNumberFormat="1" applyFont="1" applyFill="1" applyBorder="1" applyAlignment="1">
      <alignment horizontal="right" wrapText="1"/>
    </xf>
    <xf numFmtId="164" fontId="1" fillId="0" borderId="17" xfId="0" applyNumberFormat="1" applyFont="1" applyFill="1" applyBorder="1" applyAlignment="1">
      <alignment horizontal="right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3" fontId="1" fillId="0" borderId="22" xfId="0" applyNumberFormat="1" applyFont="1" applyFill="1" applyBorder="1" applyAlignment="1">
      <alignment horizontal="right" wrapText="1"/>
    </xf>
    <xf numFmtId="3" fontId="1" fillId="2" borderId="22" xfId="0" applyNumberFormat="1" applyFont="1" applyFill="1" applyBorder="1" applyAlignment="1">
      <alignment horizontal="right" wrapText="1"/>
    </xf>
    <xf numFmtId="164" fontId="1" fillId="0" borderId="24" xfId="0" applyNumberFormat="1" applyFont="1" applyFill="1" applyBorder="1" applyAlignment="1">
      <alignment horizontal="right" wrapText="1"/>
    </xf>
    <xf numFmtId="0" fontId="2" fillId="0" borderId="21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3" fontId="12" fillId="0" borderId="22" xfId="0" applyNumberFormat="1" applyFont="1" applyFill="1" applyBorder="1" applyAlignment="1">
      <alignment horizontal="right" wrapText="1"/>
    </xf>
    <xf numFmtId="3" fontId="12" fillId="2" borderId="22" xfId="0" applyNumberFormat="1" applyFont="1" applyFill="1" applyBorder="1" applyAlignment="1">
      <alignment horizontal="right" wrapText="1"/>
    </xf>
    <xf numFmtId="164" fontId="2" fillId="0" borderId="24" xfId="0" applyNumberFormat="1" applyFont="1" applyFill="1" applyBorder="1" applyAlignment="1">
      <alignment horizontal="right" wrapText="1"/>
    </xf>
    <xf numFmtId="2" fontId="12" fillId="0" borderId="0" xfId="0" applyNumberFormat="1" applyFont="1" applyBorder="1" applyAlignment="1">
      <alignment horizontal="right" wrapTex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1" fillId="0" borderId="8" xfId="0" applyFont="1" applyBorder="1" applyAlignment="1">
      <alignment horizontal="justify" vertical="justify" wrapText="1"/>
    </xf>
    <xf numFmtId="3" fontId="1" fillId="0" borderId="8" xfId="0" applyNumberFormat="1" applyFont="1" applyFill="1" applyBorder="1" applyAlignment="1">
      <alignment horizontal="right" vertical="center"/>
    </xf>
    <xf numFmtId="3" fontId="1" fillId="2" borderId="8" xfId="0" applyNumberFormat="1" applyFont="1" applyFill="1" applyBorder="1" applyAlignment="1">
      <alignment horizontal="right" vertical="center"/>
    </xf>
    <xf numFmtId="164" fontId="1" fillId="0" borderId="10" xfId="0" applyNumberFormat="1" applyFont="1" applyFill="1" applyBorder="1" applyAlignment="1">
      <alignment horizontal="right" vertical="center"/>
    </xf>
    <xf numFmtId="2" fontId="5" fillId="0" borderId="0" xfId="0" applyNumberFormat="1" applyFont="1" applyBorder="1" applyAlignment="1">
      <alignment horizontal="right" vertical="center"/>
    </xf>
    <xf numFmtId="0" fontId="1" fillId="0" borderId="19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3" fontId="1" fillId="0" borderId="16" xfId="0" applyNumberFormat="1" applyFont="1" applyFill="1" applyBorder="1" applyAlignment="1"/>
    <xf numFmtId="3" fontId="1" fillId="2" borderId="16" xfId="0" applyNumberFormat="1" applyFont="1" applyFill="1" applyBorder="1" applyAlignment="1"/>
    <xf numFmtId="164" fontId="1" fillId="0" borderId="17" xfId="0" applyNumberFormat="1" applyFont="1" applyFill="1" applyBorder="1" applyAlignment="1"/>
    <xf numFmtId="2" fontId="5" fillId="0" borderId="0" xfId="0" applyNumberFormat="1" applyFont="1" applyFill="1" applyBorder="1" applyAlignment="1"/>
    <xf numFmtId="0" fontId="1" fillId="0" borderId="2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3" fontId="1" fillId="0" borderId="22" xfId="0" applyNumberFormat="1" applyFont="1" applyFill="1" applyBorder="1" applyAlignment="1"/>
    <xf numFmtId="3" fontId="1" fillId="2" borderId="22" xfId="0" applyNumberFormat="1" applyFont="1" applyFill="1" applyBorder="1" applyAlignment="1"/>
    <xf numFmtId="164" fontId="1" fillId="0" borderId="24" xfId="0" applyNumberFormat="1" applyFont="1" applyFill="1" applyBorder="1" applyAlignment="1"/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3" fontId="12" fillId="0" borderId="6" xfId="0" applyNumberFormat="1" applyFont="1" applyFill="1" applyBorder="1" applyAlignment="1"/>
    <xf numFmtId="3" fontId="12" fillId="2" borderId="6" xfId="0" applyNumberFormat="1" applyFont="1" applyFill="1" applyBorder="1" applyAlignment="1"/>
    <xf numFmtId="2" fontId="12" fillId="0" borderId="0" xfId="0" applyNumberFormat="1" applyFont="1" applyBorder="1"/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3" fontId="5" fillId="0" borderId="26" xfId="0" applyNumberFormat="1" applyFont="1" applyFill="1" applyBorder="1"/>
    <xf numFmtId="3" fontId="5" fillId="2" borderId="26" xfId="0" applyNumberFormat="1" applyFont="1" applyFill="1" applyBorder="1"/>
    <xf numFmtId="164" fontId="1" fillId="0" borderId="28" xfId="0" applyNumberFormat="1" applyFont="1" applyFill="1" applyBorder="1"/>
    <xf numFmtId="0" fontId="2" fillId="0" borderId="29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3" fontId="12" fillId="0" borderId="30" xfId="0" applyNumberFormat="1" applyFont="1" applyFill="1" applyBorder="1" applyAlignment="1">
      <alignment horizontal="right" wrapText="1"/>
    </xf>
    <xf numFmtId="3" fontId="12" fillId="2" borderId="30" xfId="0" applyNumberFormat="1" applyFont="1" applyFill="1" applyBorder="1" applyAlignment="1">
      <alignment horizontal="right" wrapText="1"/>
    </xf>
    <xf numFmtId="164" fontId="12" fillId="0" borderId="31" xfId="0" applyNumberFormat="1" applyFont="1" applyFill="1" applyBorder="1" applyAlignment="1">
      <alignment horizontal="right" wrapText="1"/>
    </xf>
    <xf numFmtId="0" fontId="13" fillId="0" borderId="0" xfId="0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horizontal="right" wrapText="1"/>
    </xf>
    <xf numFmtId="0" fontId="14" fillId="0" borderId="0" xfId="0" applyFont="1" applyFill="1" applyBorder="1"/>
    <xf numFmtId="0" fontId="14" fillId="0" borderId="0" xfId="0" applyFont="1"/>
    <xf numFmtId="0" fontId="3" fillId="0" borderId="0" xfId="0" applyFont="1" applyBorder="1" applyAlignment="1"/>
    <xf numFmtId="0" fontId="1" fillId="3" borderId="0" xfId="0" applyFont="1" applyFill="1" applyBorder="1" applyAlignment="1">
      <alignment horizontal="centerContinuous"/>
    </xf>
    <xf numFmtId="0" fontId="3" fillId="0" borderId="32" xfId="0" applyFont="1" applyBorder="1"/>
    <xf numFmtId="3" fontId="3" fillId="0" borderId="0" xfId="0" applyNumberFormat="1" applyFont="1" applyBorder="1"/>
    <xf numFmtId="0" fontId="1" fillId="0" borderId="0" xfId="0" applyFont="1" applyFill="1" applyBorder="1"/>
    <xf numFmtId="164" fontId="1" fillId="0" borderId="16" xfId="0" applyNumberFormat="1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164" fontId="1" fillId="0" borderId="8" xfId="0" applyNumberFormat="1" applyFont="1" applyBorder="1" applyAlignment="1">
      <alignment vertical="center" wrapText="1"/>
    </xf>
    <xf numFmtId="164" fontId="1" fillId="0" borderId="6" xfId="0" applyNumberFormat="1" applyFont="1" applyFill="1" applyBorder="1"/>
    <xf numFmtId="164" fontId="1" fillId="0" borderId="0" xfId="0" applyNumberFormat="1" applyFont="1" applyFill="1" applyBorder="1"/>
    <xf numFmtId="0" fontId="3" fillId="0" borderId="34" xfId="0" applyFont="1" applyBorder="1" applyAlignment="1">
      <alignment vertical="center" wrapText="1"/>
    </xf>
    <xf numFmtId="3" fontId="3" fillId="0" borderId="16" xfId="0" applyNumberFormat="1" applyFont="1" applyFill="1" applyBorder="1"/>
    <xf numFmtId="164" fontId="1" fillId="0" borderId="8" xfId="0" applyNumberFormat="1" applyFont="1" applyFill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3" fontId="1" fillId="0" borderId="0" xfId="0" applyNumberFormat="1" applyFont="1" applyFill="1"/>
    <xf numFmtId="0" fontId="1" fillId="4" borderId="0" xfId="0" applyFont="1" applyFill="1"/>
    <xf numFmtId="0" fontId="14" fillId="0" borderId="0" xfId="0" applyFont="1" applyAlignment="1"/>
    <xf numFmtId="0" fontId="14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right" vertical="center" wrapText="1"/>
    </xf>
    <xf numFmtId="0" fontId="1" fillId="0" borderId="36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vertical="center" wrapText="1"/>
    </xf>
    <xf numFmtId="3" fontId="1" fillId="0" borderId="34" xfId="0" applyNumberFormat="1" applyFont="1" applyFill="1" applyBorder="1" applyAlignment="1">
      <alignment horizontal="right" wrapText="1"/>
    </xf>
    <xf numFmtId="164" fontId="1" fillId="2" borderId="8" xfId="0" applyNumberFormat="1" applyFont="1" applyFill="1" applyBorder="1" applyAlignment="1">
      <alignment horizontal="right" wrapText="1"/>
    </xf>
    <xf numFmtId="164" fontId="1" fillId="0" borderId="8" xfId="0" applyNumberFormat="1" applyFont="1" applyFill="1" applyBorder="1" applyAlignment="1">
      <alignment horizontal="right" wrapText="1"/>
    </xf>
    <xf numFmtId="2" fontId="5" fillId="0" borderId="0" xfId="0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6" xfId="0" applyNumberFormat="1" applyFont="1" applyFill="1" applyBorder="1"/>
    <xf numFmtId="3" fontId="1" fillId="0" borderId="18" xfId="0" applyNumberFormat="1" applyFont="1" applyFill="1" applyBorder="1"/>
    <xf numFmtId="3" fontId="1" fillId="2" borderId="16" xfId="0" applyNumberFormat="1" applyFont="1" applyFill="1" applyBorder="1"/>
    <xf numFmtId="164" fontId="1" fillId="0" borderId="17" xfId="0" applyNumberFormat="1" applyFont="1" applyFill="1" applyBorder="1"/>
    <xf numFmtId="2" fontId="5" fillId="0" borderId="0" xfId="0" applyNumberFormat="1" applyFont="1" applyFill="1" applyBorder="1"/>
    <xf numFmtId="0" fontId="1" fillId="0" borderId="37" xfId="0" applyFont="1" applyFill="1" applyBorder="1" applyAlignment="1">
      <alignment vertical="center" wrapText="1"/>
    </xf>
    <xf numFmtId="3" fontId="1" fillId="0" borderId="39" xfId="0" applyNumberFormat="1" applyFont="1" applyFill="1" applyBorder="1"/>
    <xf numFmtId="3" fontId="1" fillId="2" borderId="39" xfId="0" applyNumberFormat="1" applyFont="1" applyFill="1" applyBorder="1"/>
    <xf numFmtId="3" fontId="1" fillId="0" borderId="34" xfId="0" applyNumberFormat="1" applyFont="1" applyFill="1" applyBorder="1"/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 wrapText="1"/>
    </xf>
    <xf numFmtId="3" fontId="1" fillId="0" borderId="41" xfId="0" applyNumberFormat="1" applyFont="1" applyFill="1" applyBorder="1"/>
    <xf numFmtId="3" fontId="1" fillId="0" borderId="26" xfId="0" applyNumberFormat="1" applyFont="1" applyFill="1" applyBorder="1"/>
    <xf numFmtId="3" fontId="1" fillId="2" borderId="26" xfId="0" applyNumberFormat="1" applyFont="1" applyFill="1" applyBorder="1"/>
    <xf numFmtId="0" fontId="2" fillId="0" borderId="29" xfId="0" applyFont="1" applyFill="1" applyBorder="1" applyAlignment="1">
      <alignment horizontal="left"/>
    </xf>
    <xf numFmtId="0" fontId="2" fillId="0" borderId="30" xfId="0" applyFont="1" applyFill="1" applyBorder="1" applyAlignment="1">
      <alignment horizontal="left"/>
    </xf>
    <xf numFmtId="2" fontId="12" fillId="0" borderId="0" xfId="0" applyNumberFormat="1" applyFont="1" applyFill="1" applyBorder="1" applyAlignment="1">
      <alignment horizontal="right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/>
    <xf numFmtId="0" fontId="3" fillId="0" borderId="0" xfId="0" applyFont="1" applyFill="1" applyBorder="1" applyAlignment="1"/>
    <xf numFmtId="0" fontId="3" fillId="0" borderId="42" xfId="0" applyFont="1" applyFill="1" applyBorder="1"/>
    <xf numFmtId="3" fontId="15" fillId="0" borderId="16" xfId="0" applyNumberFormat="1" applyFont="1" applyFill="1" applyBorder="1"/>
    <xf numFmtId="3" fontId="15" fillId="0" borderId="18" xfId="0" applyNumberFormat="1" applyFont="1" applyFill="1" applyBorder="1"/>
    <xf numFmtId="0" fontId="1" fillId="0" borderId="34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1" fillId="0" borderId="34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Continuous"/>
    </xf>
    <xf numFmtId="0" fontId="1" fillId="0" borderId="8" xfId="0" applyFont="1" applyFill="1" applyBorder="1" applyAlignment="1">
      <alignment horizontal="centerContinuous"/>
    </xf>
    <xf numFmtId="0" fontId="14" fillId="2" borderId="0" xfId="0" applyFont="1" applyFill="1" applyBorder="1" applyAlignment="1">
      <alignment horizontal="right" wrapText="1"/>
    </xf>
    <xf numFmtId="0" fontId="14" fillId="2" borderId="0" xfId="0" applyFont="1" applyFill="1" applyBorder="1"/>
    <xf numFmtId="0" fontId="3" fillId="2" borderId="0" xfId="0" applyFont="1" applyFill="1" applyBorder="1" applyAlignment="1">
      <alignment horizontal="centerContinuous"/>
    </xf>
    <xf numFmtId="3" fontId="3" fillId="2" borderId="33" xfId="0" applyNumberFormat="1" applyFont="1" applyFill="1" applyBorder="1"/>
    <xf numFmtId="164" fontId="1" fillId="2" borderId="16" xfId="0" applyNumberFormat="1" applyFont="1" applyFill="1" applyBorder="1" applyAlignment="1">
      <alignment vertical="center" wrapText="1"/>
    </xf>
    <xf numFmtId="164" fontId="1" fillId="2" borderId="8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/>
    <xf numFmtId="3" fontId="3" fillId="2" borderId="16" xfId="0" applyNumberFormat="1" applyFont="1" applyFill="1" applyBorder="1"/>
    <xf numFmtId="164" fontId="1" fillId="2" borderId="16" xfId="0" applyNumberFormat="1" applyFont="1" applyFill="1" applyBorder="1"/>
    <xf numFmtId="164" fontId="1" fillId="2" borderId="16" xfId="0" applyNumberFormat="1" applyFont="1" applyFill="1" applyBorder="1" applyAlignment="1">
      <alignment horizontal="right" wrapText="1"/>
    </xf>
    <xf numFmtId="164" fontId="1" fillId="0" borderId="34" xfId="0" applyNumberFormat="1" applyFont="1" applyFill="1" applyBorder="1" applyAlignment="1">
      <alignment horizontal="right" wrapText="1"/>
    </xf>
    <xf numFmtId="164" fontId="1" fillId="0" borderId="18" xfId="0" applyNumberFormat="1" applyFont="1" applyFill="1" applyBorder="1"/>
    <xf numFmtId="164" fontId="1" fillId="0" borderId="18" xfId="0" applyNumberFormat="1" applyFont="1" applyFill="1" applyBorder="1" applyAlignment="1">
      <alignment horizontal="right" wrapText="1"/>
    </xf>
    <xf numFmtId="3" fontId="12" fillId="0" borderId="43" xfId="0" applyNumberFormat="1" applyFont="1" applyFill="1" applyBorder="1" applyAlignment="1">
      <alignment horizontal="right" wrapText="1"/>
    </xf>
    <xf numFmtId="2" fontId="1" fillId="0" borderId="0" xfId="0" applyNumberFormat="1" applyFont="1" applyFill="1" applyBorder="1"/>
    <xf numFmtId="0" fontId="14" fillId="0" borderId="44" xfId="0" applyFont="1" applyFill="1" applyBorder="1" applyAlignment="1">
      <alignment horizontal="right" wrapText="1"/>
    </xf>
    <xf numFmtId="3" fontId="1" fillId="2" borderId="34" xfId="0" applyNumberFormat="1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centerContinuous"/>
    </xf>
    <xf numFmtId="0" fontId="1" fillId="0" borderId="34" xfId="0" applyFont="1" applyFill="1" applyBorder="1" applyAlignment="1">
      <alignment horizontal="centerContinuous"/>
    </xf>
    <xf numFmtId="0" fontId="3" fillId="0" borderId="34" xfId="0" applyFont="1" applyFill="1" applyBorder="1" applyAlignment="1">
      <alignment horizontal="centerContinuous"/>
    </xf>
    <xf numFmtId="3" fontId="7" fillId="0" borderId="34" xfId="0" applyNumberFormat="1" applyFont="1" applyFill="1" applyBorder="1"/>
    <xf numFmtId="3" fontId="1" fillId="0" borderId="34" xfId="0" applyNumberFormat="1" applyFont="1" applyFill="1" applyBorder="1" applyAlignment="1"/>
    <xf numFmtId="3" fontId="1" fillId="0" borderId="45" xfId="0" applyNumberFormat="1" applyFont="1" applyFill="1" applyBorder="1"/>
    <xf numFmtId="3" fontId="1" fillId="0" borderId="18" xfId="0" applyNumberFormat="1" applyFont="1" applyFill="1" applyBorder="1" applyAlignment="1">
      <alignment vertical="center"/>
    </xf>
    <xf numFmtId="3" fontId="1" fillId="0" borderId="46" xfId="0" applyNumberFormat="1" applyFont="1" applyFill="1" applyBorder="1" applyAlignment="1">
      <alignment horizontal="right" wrapText="1"/>
    </xf>
    <xf numFmtId="3" fontId="12" fillId="0" borderId="46" xfId="0" applyNumberFormat="1" applyFont="1" applyFill="1" applyBorder="1" applyAlignment="1">
      <alignment horizontal="right" wrapText="1"/>
    </xf>
    <xf numFmtId="3" fontId="1" fillId="0" borderId="34" xfId="0" applyNumberFormat="1" applyFont="1" applyFill="1" applyBorder="1" applyAlignment="1">
      <alignment horizontal="right" vertical="center"/>
    </xf>
    <xf numFmtId="3" fontId="1" fillId="0" borderId="18" xfId="0" applyNumberFormat="1" applyFont="1" applyFill="1" applyBorder="1" applyAlignment="1"/>
    <xf numFmtId="3" fontId="1" fillId="0" borderId="46" xfId="0" applyNumberFormat="1" applyFont="1" applyFill="1" applyBorder="1" applyAlignment="1"/>
    <xf numFmtId="3" fontId="12" fillId="0" borderId="45" xfId="0" applyNumberFormat="1" applyFont="1" applyFill="1" applyBorder="1" applyAlignment="1"/>
    <xf numFmtId="3" fontId="5" fillId="0" borderId="41" xfId="0" applyNumberFormat="1" applyFont="1" applyFill="1" applyBorder="1"/>
    <xf numFmtId="164" fontId="1" fillId="0" borderId="16" xfId="0" applyNumberFormat="1" applyFont="1" applyFill="1" applyBorder="1"/>
    <xf numFmtId="164" fontId="1" fillId="0" borderId="16" xfId="0" applyNumberFormat="1" applyFont="1" applyFill="1" applyBorder="1" applyAlignment="1">
      <alignment horizontal="right" wrapText="1"/>
    </xf>
    <xf numFmtId="0" fontId="4" fillId="2" borderId="34" xfId="0" applyFont="1" applyFill="1" applyBorder="1" applyAlignment="1">
      <alignment horizontal="center"/>
    </xf>
    <xf numFmtId="164" fontId="1" fillId="2" borderId="34" xfId="0" applyNumberFormat="1" applyFont="1" applyFill="1" applyBorder="1" applyAlignment="1">
      <alignment horizontal="right" wrapText="1"/>
    </xf>
    <xf numFmtId="3" fontId="1" fillId="2" borderId="18" xfId="0" applyNumberFormat="1" applyFont="1" applyFill="1" applyBorder="1"/>
    <xf numFmtId="3" fontId="1" fillId="2" borderId="33" xfId="0" applyNumberFormat="1" applyFont="1" applyFill="1" applyBorder="1"/>
    <xf numFmtId="3" fontId="1" fillId="2" borderId="34" xfId="0" applyNumberFormat="1" applyFont="1" applyFill="1" applyBorder="1"/>
    <xf numFmtId="164" fontId="1" fillId="2" borderId="18" xfId="0" applyNumberFormat="1" applyFont="1" applyFill="1" applyBorder="1"/>
    <xf numFmtId="164" fontId="1" fillId="2" borderId="18" xfId="0" applyNumberFormat="1" applyFont="1" applyFill="1" applyBorder="1" applyAlignment="1">
      <alignment horizontal="right" wrapText="1"/>
    </xf>
    <xf numFmtId="3" fontId="1" fillId="2" borderId="41" xfId="0" applyNumberFormat="1" applyFont="1" applyFill="1" applyBorder="1"/>
    <xf numFmtId="3" fontId="12" fillId="2" borderId="43" xfId="0" applyNumberFormat="1" applyFont="1" applyFill="1" applyBorder="1" applyAlignment="1">
      <alignment horizontal="right" wrapText="1"/>
    </xf>
    <xf numFmtId="3" fontId="3" fillId="0" borderId="33" xfId="0" applyNumberFormat="1" applyFont="1" applyFill="1" applyBorder="1"/>
    <xf numFmtId="3" fontId="3" fillId="0" borderId="0" xfId="0" applyNumberFormat="1" applyFont="1" applyFill="1" applyBorder="1"/>
    <xf numFmtId="0" fontId="3" fillId="2" borderId="34" xfId="0" applyFont="1" applyFill="1" applyBorder="1" applyAlignment="1">
      <alignment horizontal="centerContinuous"/>
    </xf>
    <xf numFmtId="3" fontId="7" fillId="2" borderId="34" xfId="0" applyNumberFormat="1" applyFont="1" applyFill="1" applyBorder="1"/>
    <xf numFmtId="3" fontId="1" fillId="2" borderId="34" xfId="0" applyNumberFormat="1" applyFont="1" applyFill="1" applyBorder="1" applyAlignment="1"/>
    <xf numFmtId="3" fontId="1" fillId="2" borderId="45" xfId="0" applyNumberFormat="1" applyFont="1" applyFill="1" applyBorder="1"/>
    <xf numFmtId="3" fontId="1" fillId="2" borderId="18" xfId="0" applyNumberFormat="1" applyFont="1" applyFill="1" applyBorder="1" applyAlignment="1">
      <alignment vertical="center"/>
    </xf>
    <xf numFmtId="3" fontId="1" fillId="2" borderId="46" xfId="0" applyNumberFormat="1" applyFont="1" applyFill="1" applyBorder="1" applyAlignment="1">
      <alignment horizontal="right" wrapText="1"/>
    </xf>
    <xf numFmtId="3" fontId="12" fillId="2" borderId="46" xfId="0" applyNumberFormat="1" applyFont="1" applyFill="1" applyBorder="1" applyAlignment="1">
      <alignment horizontal="right" wrapText="1"/>
    </xf>
    <xf numFmtId="3" fontId="1" fillId="2" borderId="34" xfId="0" applyNumberFormat="1" applyFont="1" applyFill="1" applyBorder="1" applyAlignment="1">
      <alignment horizontal="right" vertical="center"/>
    </xf>
    <xf numFmtId="3" fontId="1" fillId="2" borderId="18" xfId="0" applyNumberFormat="1" applyFont="1" applyFill="1" applyBorder="1" applyAlignment="1"/>
    <xf numFmtId="3" fontId="1" fillId="2" borderId="46" xfId="0" applyNumberFormat="1" applyFont="1" applyFill="1" applyBorder="1" applyAlignment="1"/>
    <xf numFmtId="3" fontId="12" fillId="2" borderId="45" xfId="0" applyNumberFormat="1" applyFont="1" applyFill="1" applyBorder="1" applyAlignment="1"/>
    <xf numFmtId="3" fontId="5" fillId="2" borderId="41" xfId="0" applyNumberFormat="1" applyFont="1" applyFill="1" applyBorder="1"/>
    <xf numFmtId="0" fontId="1" fillId="0" borderId="2" xfId="0" applyFont="1" applyFill="1" applyBorder="1"/>
    <xf numFmtId="0" fontId="3" fillId="0" borderId="6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top" wrapText="1"/>
    </xf>
    <xf numFmtId="0" fontId="1" fillId="0" borderId="39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wrapText="1"/>
    </xf>
    <xf numFmtId="3" fontId="3" fillId="0" borderId="22" xfId="0" applyNumberFormat="1" applyFont="1" applyFill="1" applyBorder="1" applyAlignment="1">
      <alignment horizontal="right" vertical="center" wrapText="1"/>
    </xf>
    <xf numFmtId="3" fontId="3" fillId="2" borderId="22" xfId="0" applyNumberFormat="1" applyFont="1" applyFill="1" applyBorder="1" applyAlignment="1">
      <alignment horizontal="right" vertical="center" wrapText="1"/>
    </xf>
    <xf numFmtId="3" fontId="3" fillId="2" borderId="46" xfId="0" applyNumberFormat="1" applyFont="1" applyFill="1" applyBorder="1" applyAlignment="1">
      <alignment horizontal="right" vertical="center" wrapText="1"/>
    </xf>
    <xf numFmtId="3" fontId="3" fillId="0" borderId="46" xfId="0" applyNumberFormat="1" applyFont="1" applyFill="1" applyBorder="1" applyAlignment="1">
      <alignment horizontal="right" vertical="center" wrapText="1"/>
    </xf>
    <xf numFmtId="164" fontId="1" fillId="0" borderId="24" xfId="0" applyNumberFormat="1" applyFont="1" applyFill="1" applyBorder="1" applyAlignment="1">
      <alignment horizontal="right" vertical="center" wrapText="1"/>
    </xf>
    <xf numFmtId="3" fontId="3" fillId="0" borderId="22" xfId="0" applyNumberFormat="1" applyFont="1" applyFill="1" applyBorder="1" applyAlignment="1">
      <alignment vertical="center" wrapText="1"/>
    </xf>
    <xf numFmtId="3" fontId="3" fillId="2" borderId="22" xfId="0" applyNumberFormat="1" applyFont="1" applyFill="1" applyBorder="1" applyAlignment="1">
      <alignment vertical="center" wrapText="1"/>
    </xf>
    <xf numFmtId="3" fontId="3" fillId="0" borderId="46" xfId="0" applyNumberFormat="1" applyFont="1" applyFill="1" applyBorder="1" applyAlignment="1">
      <alignment vertical="center" wrapText="1"/>
    </xf>
    <xf numFmtId="3" fontId="3" fillId="2" borderId="46" xfId="0" applyNumberFormat="1" applyFont="1" applyFill="1" applyBorder="1" applyAlignment="1">
      <alignment vertical="center" wrapText="1"/>
    </xf>
    <xf numFmtId="164" fontId="1" fillId="0" borderId="24" xfId="0" applyNumberFormat="1" applyFont="1" applyFill="1" applyBorder="1" applyAlignment="1">
      <alignment vertical="center"/>
    </xf>
    <xf numFmtId="164" fontId="1" fillId="0" borderId="16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Continuous"/>
    </xf>
    <xf numFmtId="0" fontId="1" fillId="2" borderId="34" xfId="0" applyFont="1" applyFill="1" applyBorder="1" applyAlignment="1">
      <alignment horizontal="centerContinuous"/>
    </xf>
    <xf numFmtId="0" fontId="2" fillId="0" borderId="0" xfId="0" applyFont="1" applyFill="1" applyAlignment="1">
      <alignment horizontal="centerContinuous"/>
    </xf>
    <xf numFmtId="3" fontId="18" fillId="2" borderId="16" xfId="0" applyNumberFormat="1" applyFont="1" applyFill="1" applyBorder="1"/>
    <xf numFmtId="2" fontId="1" fillId="0" borderId="0" xfId="0" applyNumberFormat="1" applyFont="1" applyFill="1" applyBorder="1" applyAlignment="1"/>
    <xf numFmtId="0" fontId="1" fillId="5" borderId="34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1" fillId="5" borderId="0" xfId="0" applyFont="1" applyFill="1"/>
    <xf numFmtId="0" fontId="1" fillId="5" borderId="0" xfId="0" applyFont="1" applyFill="1" applyAlignment="1">
      <alignment horizontal="centerContinuous"/>
    </xf>
    <xf numFmtId="0" fontId="3" fillId="5" borderId="2" xfId="0" applyFont="1" applyFill="1" applyBorder="1" applyAlignment="1">
      <alignment horizontal="center"/>
    </xf>
    <xf numFmtId="0" fontId="3" fillId="5" borderId="44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Continuous"/>
    </xf>
    <xf numFmtId="0" fontId="3" fillId="5" borderId="9" xfId="0" applyFont="1" applyFill="1" applyBorder="1" applyAlignment="1">
      <alignment horizontal="centerContinuous"/>
    </xf>
    <xf numFmtId="0" fontId="1" fillId="5" borderId="12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3" fontId="7" fillId="5" borderId="8" xfId="0" applyNumberFormat="1" applyFont="1" applyFill="1" applyBorder="1"/>
    <xf numFmtId="3" fontId="7" fillId="5" borderId="9" xfId="0" applyNumberFormat="1" applyFont="1" applyFill="1" applyBorder="1"/>
    <xf numFmtId="3" fontId="1" fillId="5" borderId="8" xfId="0" applyNumberFormat="1" applyFont="1" applyFill="1" applyBorder="1" applyAlignment="1"/>
    <xf numFmtId="3" fontId="1" fillId="5" borderId="9" xfId="0" applyNumberFormat="1" applyFont="1" applyFill="1" applyBorder="1" applyAlignment="1"/>
    <xf numFmtId="3" fontId="1" fillId="5" borderId="8" xfId="0" applyNumberFormat="1" applyFont="1" applyFill="1" applyBorder="1"/>
    <xf numFmtId="3" fontId="1" fillId="5" borderId="9" xfId="0" applyNumberFormat="1" applyFont="1" applyFill="1" applyBorder="1"/>
    <xf numFmtId="3" fontId="11" fillId="5" borderId="8" xfId="0" applyNumberFormat="1" applyFont="1" applyFill="1" applyBorder="1"/>
    <xf numFmtId="3" fontId="1" fillId="5" borderId="8" xfId="0" applyNumberFormat="1" applyFont="1" applyFill="1" applyBorder="1" applyAlignment="1">
      <alignment horizontal="right" wrapText="1"/>
    </xf>
    <xf numFmtId="3" fontId="1" fillId="5" borderId="9" xfId="0" applyNumberFormat="1" applyFont="1" applyFill="1" applyBorder="1" applyAlignment="1">
      <alignment horizontal="right" wrapText="1"/>
    </xf>
    <xf numFmtId="3" fontId="1" fillId="5" borderId="6" xfId="0" applyNumberFormat="1" applyFont="1" applyFill="1" applyBorder="1"/>
    <xf numFmtId="3" fontId="1" fillId="5" borderId="0" xfId="0" applyNumberFormat="1" applyFont="1" applyFill="1" applyBorder="1"/>
    <xf numFmtId="3" fontId="1" fillId="5" borderId="16" xfId="0" applyNumberFormat="1" applyFont="1" applyFill="1" applyBorder="1" applyAlignment="1">
      <alignment vertical="center"/>
    </xf>
    <xf numFmtId="3" fontId="1" fillId="5" borderId="20" xfId="0" applyNumberFormat="1" applyFont="1" applyFill="1" applyBorder="1" applyAlignment="1">
      <alignment vertical="center"/>
    </xf>
    <xf numFmtId="3" fontId="11" fillId="5" borderId="16" xfId="0" applyNumberFormat="1" applyFont="1" applyFill="1" applyBorder="1" applyAlignment="1">
      <alignment vertical="center"/>
    </xf>
    <xf numFmtId="3" fontId="1" fillId="5" borderId="18" xfId="0" applyNumberFormat="1" applyFont="1" applyFill="1" applyBorder="1" applyAlignment="1">
      <alignment horizontal="right" wrapText="1"/>
    </xf>
    <xf numFmtId="3" fontId="1" fillId="5" borderId="42" xfId="0" applyNumberFormat="1" applyFont="1" applyFill="1" applyBorder="1" applyAlignment="1">
      <alignment horizontal="right" wrapText="1"/>
    </xf>
    <xf numFmtId="3" fontId="1" fillId="5" borderId="16" xfId="0" applyNumberFormat="1" applyFont="1" applyFill="1" applyBorder="1" applyAlignment="1">
      <alignment horizontal="right" wrapText="1"/>
    </xf>
    <xf numFmtId="3" fontId="1" fillId="5" borderId="20" xfId="0" applyNumberFormat="1" applyFont="1" applyFill="1" applyBorder="1" applyAlignment="1">
      <alignment horizontal="right" wrapText="1"/>
    </xf>
    <xf numFmtId="3" fontId="1" fillId="5" borderId="22" xfId="0" applyNumberFormat="1" applyFont="1" applyFill="1" applyBorder="1" applyAlignment="1">
      <alignment horizontal="right" wrapText="1"/>
    </xf>
    <xf numFmtId="3" fontId="1" fillId="5" borderId="23" xfId="0" applyNumberFormat="1" applyFont="1" applyFill="1" applyBorder="1" applyAlignment="1">
      <alignment horizontal="right" wrapText="1"/>
    </xf>
    <xf numFmtId="3" fontId="12" fillId="5" borderId="22" xfId="0" applyNumberFormat="1" applyFont="1" applyFill="1" applyBorder="1" applyAlignment="1">
      <alignment horizontal="right" wrapText="1"/>
    </xf>
    <xf numFmtId="3" fontId="12" fillId="5" borderId="23" xfId="0" applyNumberFormat="1" applyFont="1" applyFill="1" applyBorder="1" applyAlignment="1">
      <alignment horizontal="right" wrapText="1"/>
    </xf>
    <xf numFmtId="3" fontId="3" fillId="5" borderId="22" xfId="0" applyNumberFormat="1" applyFont="1" applyFill="1" applyBorder="1" applyAlignment="1">
      <alignment horizontal="right" vertical="center" wrapText="1"/>
    </xf>
    <xf numFmtId="3" fontId="3" fillId="5" borderId="23" xfId="0" applyNumberFormat="1" applyFont="1" applyFill="1" applyBorder="1" applyAlignment="1">
      <alignment horizontal="right" vertical="center" wrapText="1"/>
    </xf>
    <xf numFmtId="3" fontId="1" fillId="5" borderId="8" xfId="0" applyNumberFormat="1" applyFont="1" applyFill="1" applyBorder="1" applyAlignment="1">
      <alignment vertical="center"/>
    </xf>
    <xf numFmtId="3" fontId="1" fillId="5" borderId="9" xfId="0" applyNumberFormat="1" applyFont="1" applyFill="1" applyBorder="1" applyAlignment="1">
      <alignment vertical="center"/>
    </xf>
    <xf numFmtId="3" fontId="11" fillId="5" borderId="8" xfId="0" applyNumberFormat="1" applyFont="1" applyFill="1" applyBorder="1" applyAlignment="1">
      <alignment vertical="center"/>
    </xf>
    <xf numFmtId="3" fontId="1" fillId="5" borderId="16" xfId="0" applyNumberFormat="1" applyFont="1" applyFill="1" applyBorder="1" applyAlignment="1"/>
    <xf numFmtId="3" fontId="1" fillId="5" borderId="20" xfId="0" applyNumberFormat="1" applyFont="1" applyFill="1" applyBorder="1" applyAlignment="1"/>
    <xf numFmtId="3" fontId="1" fillId="5" borderId="22" xfId="0" applyNumberFormat="1" applyFont="1" applyFill="1" applyBorder="1" applyAlignment="1"/>
    <xf numFmtId="3" fontId="1" fillId="5" borderId="23" xfId="0" applyNumberFormat="1" applyFont="1" applyFill="1" applyBorder="1" applyAlignment="1"/>
    <xf numFmtId="3" fontId="3" fillId="5" borderId="22" xfId="0" applyNumberFormat="1" applyFont="1" applyFill="1" applyBorder="1" applyAlignment="1">
      <alignment vertical="center" wrapText="1"/>
    </xf>
    <xf numFmtId="3" fontId="3" fillId="5" borderId="23" xfId="0" applyNumberFormat="1" applyFont="1" applyFill="1" applyBorder="1" applyAlignment="1">
      <alignment vertical="center" wrapText="1"/>
    </xf>
    <xf numFmtId="3" fontId="12" fillId="5" borderId="6" xfId="0" applyNumberFormat="1" applyFont="1" applyFill="1" applyBorder="1" applyAlignment="1"/>
    <xf numFmtId="3" fontId="12" fillId="5" borderId="0" xfId="0" applyNumberFormat="1" applyFont="1" applyFill="1" applyBorder="1" applyAlignment="1"/>
    <xf numFmtId="3" fontId="5" fillId="5" borderId="26" xfId="0" applyNumberFormat="1" applyFont="1" applyFill="1" applyBorder="1"/>
    <xf numFmtId="3" fontId="5" fillId="5" borderId="27" xfId="0" applyNumberFormat="1" applyFont="1" applyFill="1" applyBorder="1"/>
    <xf numFmtId="3" fontId="12" fillId="5" borderId="30" xfId="0" applyNumberFormat="1" applyFont="1" applyFill="1" applyBorder="1" applyAlignment="1">
      <alignment horizontal="right" wrapText="1"/>
    </xf>
    <xf numFmtId="3" fontId="12" fillId="5" borderId="47" xfId="0" applyNumberFormat="1" applyFont="1" applyFill="1" applyBorder="1" applyAlignment="1">
      <alignment horizontal="right" wrapText="1"/>
    </xf>
    <xf numFmtId="0" fontId="14" fillId="5" borderId="0" xfId="0" applyFont="1" applyFill="1" applyBorder="1" applyAlignment="1">
      <alignment horizontal="right" wrapText="1"/>
    </xf>
    <xf numFmtId="0" fontId="14" fillId="5" borderId="0" xfId="0" applyFont="1" applyFill="1" applyBorder="1"/>
    <xf numFmtId="3" fontId="14" fillId="5" borderId="0" xfId="0" applyNumberFormat="1" applyFont="1" applyFill="1" applyBorder="1"/>
    <xf numFmtId="165" fontId="3" fillId="5" borderId="0" xfId="0" applyNumberFormat="1" applyFont="1" applyFill="1" applyBorder="1" applyAlignment="1">
      <alignment horizontal="center"/>
    </xf>
    <xf numFmtId="165" fontId="3" fillId="5" borderId="33" xfId="0" applyNumberFormat="1" applyFont="1" applyFill="1" applyBorder="1"/>
    <xf numFmtId="165" fontId="3" fillId="5" borderId="32" xfId="0" applyNumberFormat="1" applyFont="1" applyFill="1" applyBorder="1"/>
    <xf numFmtId="3" fontId="3" fillId="5" borderId="39" xfId="0" applyNumberFormat="1" applyFont="1" applyFill="1" applyBorder="1"/>
    <xf numFmtId="164" fontId="1" fillId="5" borderId="16" xfId="0" applyNumberFormat="1" applyFont="1" applyFill="1" applyBorder="1" applyAlignment="1">
      <alignment vertical="center" wrapText="1"/>
    </xf>
    <xf numFmtId="164" fontId="1" fillId="5" borderId="20" xfId="0" applyNumberFormat="1" applyFont="1" applyFill="1" applyBorder="1" applyAlignment="1">
      <alignment vertical="center" wrapText="1"/>
    </xf>
    <xf numFmtId="164" fontId="1" fillId="5" borderId="42" xfId="0" applyNumberFormat="1" applyFont="1" applyFill="1" applyBorder="1" applyAlignment="1">
      <alignment vertical="center" wrapText="1"/>
    </xf>
    <xf numFmtId="164" fontId="1" fillId="5" borderId="8" xfId="0" applyNumberFormat="1" applyFont="1" applyFill="1" applyBorder="1" applyAlignment="1">
      <alignment vertical="center" wrapText="1"/>
    </xf>
    <xf numFmtId="164" fontId="1" fillId="5" borderId="9" xfId="0" applyNumberFormat="1" applyFont="1" applyFill="1" applyBorder="1" applyAlignment="1">
      <alignment vertical="center" wrapText="1"/>
    </xf>
    <xf numFmtId="164" fontId="1" fillId="5" borderId="48" xfId="0" applyNumberFormat="1" applyFont="1" applyFill="1" applyBorder="1" applyAlignment="1">
      <alignment vertical="center" wrapText="1"/>
    </xf>
    <xf numFmtId="164" fontId="1" fillId="5" borderId="6" xfId="0" applyNumberFormat="1" applyFont="1" applyFill="1" applyBorder="1"/>
    <xf numFmtId="164" fontId="1" fillId="5" borderId="0" xfId="0" applyNumberFormat="1" applyFont="1" applyFill="1" applyBorder="1"/>
    <xf numFmtId="164" fontId="1" fillId="5" borderId="49" xfId="0" applyNumberFormat="1" applyFont="1" applyFill="1" applyBorder="1"/>
    <xf numFmtId="3" fontId="3" fillId="5" borderId="16" xfId="0" applyNumberFormat="1" applyFont="1" applyFill="1" applyBorder="1"/>
    <xf numFmtId="3" fontId="3" fillId="5" borderId="20" xfId="0" applyNumberFormat="1" applyFont="1" applyFill="1" applyBorder="1"/>
    <xf numFmtId="3" fontId="3" fillId="5" borderId="42" xfId="0" applyNumberFormat="1" applyFont="1" applyFill="1" applyBorder="1"/>
    <xf numFmtId="0" fontId="1" fillId="5" borderId="0" xfId="0" applyFont="1" applyFill="1" applyBorder="1"/>
    <xf numFmtId="3" fontId="1" fillId="5" borderId="0" xfId="0" applyNumberFormat="1" applyFont="1" applyFill="1"/>
    <xf numFmtId="0" fontId="3" fillId="5" borderId="35" xfId="0" applyFont="1" applyFill="1" applyBorder="1" applyAlignment="1">
      <alignment horizontal="center"/>
    </xf>
    <xf numFmtId="0" fontId="1" fillId="5" borderId="48" xfId="0" applyFont="1" applyFill="1" applyBorder="1" applyAlignment="1">
      <alignment horizontal="center"/>
    </xf>
    <xf numFmtId="0" fontId="1" fillId="5" borderId="50" xfId="0" applyFont="1" applyFill="1" applyBorder="1" applyAlignment="1">
      <alignment horizontal="center"/>
    </xf>
    <xf numFmtId="0" fontId="4" fillId="5" borderId="48" xfId="0" applyFont="1" applyFill="1" applyBorder="1" applyAlignment="1">
      <alignment horizontal="center"/>
    </xf>
    <xf numFmtId="3" fontId="1" fillId="5" borderId="48" xfId="0" applyNumberFormat="1" applyFont="1" applyFill="1" applyBorder="1" applyAlignment="1">
      <alignment horizontal="right" wrapText="1"/>
    </xf>
    <xf numFmtId="3" fontId="1" fillId="5" borderId="16" xfId="0" applyNumberFormat="1" applyFont="1" applyFill="1" applyBorder="1"/>
    <xf numFmtId="3" fontId="1" fillId="5" borderId="42" xfId="0" applyNumberFormat="1" applyFont="1" applyFill="1" applyBorder="1"/>
    <xf numFmtId="3" fontId="11" fillId="5" borderId="16" xfId="0" applyNumberFormat="1" applyFont="1" applyFill="1" applyBorder="1"/>
    <xf numFmtId="3" fontId="1" fillId="5" borderId="39" xfId="0" applyNumberFormat="1" applyFont="1" applyFill="1" applyBorder="1" applyAlignment="1">
      <alignment horizontal="right"/>
    </xf>
    <xf numFmtId="3" fontId="1" fillId="5" borderId="32" xfId="0" applyNumberFormat="1" applyFont="1" applyFill="1" applyBorder="1" applyAlignment="1">
      <alignment horizontal="right"/>
    </xf>
    <xf numFmtId="3" fontId="11" fillId="5" borderId="39" xfId="0" applyNumberFormat="1" applyFont="1" applyFill="1" applyBorder="1" applyAlignment="1">
      <alignment horizontal="right"/>
    </xf>
    <xf numFmtId="3" fontId="1" fillId="5" borderId="48" xfId="0" applyNumberFormat="1" applyFont="1" applyFill="1" applyBorder="1"/>
    <xf numFmtId="3" fontId="5" fillId="5" borderId="51" xfId="0" applyNumberFormat="1" applyFont="1" applyFill="1" applyBorder="1"/>
    <xf numFmtId="3" fontId="12" fillId="5" borderId="52" xfId="0" applyNumberFormat="1" applyFont="1" applyFill="1" applyBorder="1" applyAlignment="1">
      <alignment horizontal="right" wrapText="1"/>
    </xf>
    <xf numFmtId="3" fontId="12" fillId="5" borderId="53" xfId="0" applyNumberFormat="1" applyFont="1" applyFill="1" applyBorder="1" applyAlignment="1">
      <alignment horizontal="right" wrapText="1"/>
    </xf>
    <xf numFmtId="0" fontId="3" fillId="5" borderId="0" xfId="0" applyFont="1" applyFill="1" applyBorder="1" applyAlignment="1">
      <alignment horizontal="centerContinuous"/>
    </xf>
    <xf numFmtId="165" fontId="15" fillId="5" borderId="18" xfId="0" applyNumberFormat="1" applyFont="1" applyFill="1" applyBorder="1"/>
    <xf numFmtId="3" fontId="15" fillId="5" borderId="42" xfId="0" applyNumberFormat="1" applyFont="1" applyFill="1" applyBorder="1"/>
    <xf numFmtId="3" fontId="15" fillId="5" borderId="16" xfId="0" applyNumberFormat="1" applyFont="1" applyFill="1" applyBorder="1"/>
    <xf numFmtId="3" fontId="16" fillId="5" borderId="16" xfId="0" applyNumberFormat="1" applyFont="1" applyFill="1" applyBorder="1"/>
    <xf numFmtId="3" fontId="16" fillId="5" borderId="42" xfId="0" applyNumberFormat="1" applyFont="1" applyFill="1" applyBorder="1"/>
    <xf numFmtId="0" fontId="19" fillId="0" borderId="0" xfId="0" applyFont="1" applyFill="1"/>
    <xf numFmtId="0" fontId="20" fillId="6" borderId="0" xfId="0" applyFont="1" applyFill="1" applyAlignment="1"/>
    <xf numFmtId="0" fontId="20" fillId="6" borderId="0" xfId="0" applyFont="1" applyFill="1"/>
    <xf numFmtId="0" fontId="3" fillId="3" borderId="3" xfId="0" applyFont="1" applyFill="1" applyBorder="1" applyAlignment="1">
      <alignment horizontal="centerContinuous"/>
    </xf>
    <xf numFmtId="0" fontId="1" fillId="3" borderId="34" xfId="0" applyFont="1" applyFill="1" applyBorder="1" applyAlignment="1">
      <alignment horizontal="centerContinuous"/>
    </xf>
    <xf numFmtId="0" fontId="3" fillId="3" borderId="34" xfId="0" applyFont="1" applyFill="1" applyBorder="1" applyAlignment="1">
      <alignment horizontal="centerContinuous"/>
    </xf>
    <xf numFmtId="0" fontId="1" fillId="3" borderId="36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3" fontId="1" fillId="3" borderId="34" xfId="0" applyNumberFormat="1" applyFont="1" applyFill="1" applyBorder="1" applyAlignment="1"/>
    <xf numFmtId="3" fontId="1" fillId="3" borderId="34" xfId="0" applyNumberFormat="1" applyFont="1" applyFill="1" applyBorder="1"/>
    <xf numFmtId="3" fontId="1" fillId="3" borderId="34" xfId="0" applyNumberFormat="1" applyFont="1" applyFill="1" applyBorder="1" applyAlignment="1">
      <alignment horizontal="right" wrapText="1"/>
    </xf>
    <xf numFmtId="3" fontId="1" fillId="3" borderId="45" xfId="0" applyNumberFormat="1" applyFont="1" applyFill="1" applyBorder="1"/>
    <xf numFmtId="3" fontId="1" fillId="3" borderId="18" xfId="0" applyNumberFormat="1" applyFont="1" applyFill="1" applyBorder="1" applyAlignment="1">
      <alignment vertical="center"/>
    </xf>
    <xf numFmtId="3" fontId="1" fillId="3" borderId="18" xfId="0" applyNumberFormat="1" applyFont="1" applyFill="1" applyBorder="1" applyAlignment="1">
      <alignment horizontal="right" wrapText="1"/>
    </xf>
    <xf numFmtId="3" fontId="1" fillId="3" borderId="46" xfId="0" applyNumberFormat="1" applyFont="1" applyFill="1" applyBorder="1" applyAlignment="1">
      <alignment horizontal="right" wrapText="1"/>
    </xf>
    <xf numFmtId="3" fontId="1" fillId="3" borderId="34" xfId="0" applyNumberFormat="1" applyFont="1" applyFill="1" applyBorder="1" applyAlignment="1">
      <alignment horizontal="right" vertical="center"/>
    </xf>
    <xf numFmtId="3" fontId="1" fillId="3" borderId="18" xfId="0" applyNumberFormat="1" applyFont="1" applyFill="1" applyBorder="1" applyAlignment="1"/>
    <xf numFmtId="3" fontId="1" fillId="3" borderId="46" xfId="0" applyNumberFormat="1" applyFont="1" applyFill="1" applyBorder="1" applyAlignment="1"/>
    <xf numFmtId="0" fontId="14" fillId="3" borderId="0" xfId="0" applyFont="1" applyFill="1" applyBorder="1" applyAlignment="1">
      <alignment horizontal="right" wrapText="1"/>
    </xf>
    <xf numFmtId="0" fontId="14" fillId="3" borderId="0" xfId="0" applyFont="1" applyFill="1" applyBorder="1"/>
    <xf numFmtId="0" fontId="3" fillId="3" borderId="0" xfId="0" applyFont="1" applyFill="1" applyBorder="1" applyAlignment="1">
      <alignment horizontal="centerContinuous"/>
    </xf>
    <xf numFmtId="164" fontId="1" fillId="3" borderId="6" xfId="0" applyNumberFormat="1" applyFont="1" applyFill="1" applyBorder="1"/>
    <xf numFmtId="3" fontId="3" fillId="3" borderId="16" xfId="0" applyNumberFormat="1" applyFont="1" applyFill="1" applyBorder="1"/>
    <xf numFmtId="0" fontId="1" fillId="4" borderId="18" xfId="0" applyFont="1" applyFill="1" applyBorder="1"/>
    <xf numFmtId="3" fontId="1" fillId="5" borderId="18" xfId="0" applyNumberFormat="1" applyFont="1" applyFill="1" applyBorder="1"/>
    <xf numFmtId="0" fontId="1" fillId="5" borderId="18" xfId="0" applyFont="1" applyFill="1" applyBorder="1"/>
    <xf numFmtId="3" fontId="1" fillId="4" borderId="18" xfId="0" applyNumberFormat="1" applyFont="1" applyFill="1" applyBorder="1"/>
    <xf numFmtId="0" fontId="3" fillId="7" borderId="3" xfId="0" applyFont="1" applyFill="1" applyBorder="1" applyAlignment="1">
      <alignment horizontal="centerContinuous"/>
    </xf>
    <xf numFmtId="0" fontId="1" fillId="7" borderId="34" xfId="0" applyFont="1" applyFill="1" applyBorder="1" applyAlignment="1">
      <alignment horizontal="centerContinuous"/>
    </xf>
    <xf numFmtId="0" fontId="3" fillId="7" borderId="34" xfId="0" applyFont="1" applyFill="1" applyBorder="1" applyAlignment="1">
      <alignment horizontal="centerContinuous"/>
    </xf>
    <xf numFmtId="0" fontId="1" fillId="7" borderId="36" xfId="0" applyFont="1" applyFill="1" applyBorder="1" applyAlignment="1">
      <alignment horizontal="center"/>
    </xf>
    <xf numFmtId="0" fontId="4" fillId="7" borderId="34" xfId="0" applyFont="1" applyFill="1" applyBorder="1" applyAlignment="1">
      <alignment horizontal="center"/>
    </xf>
    <xf numFmtId="3" fontId="7" fillId="7" borderId="34" xfId="0" applyNumberFormat="1" applyFont="1" applyFill="1" applyBorder="1"/>
    <xf numFmtId="3" fontId="1" fillId="7" borderId="34" xfId="0" applyNumberFormat="1" applyFont="1" applyFill="1" applyBorder="1" applyAlignment="1"/>
    <xf numFmtId="3" fontId="1" fillId="7" borderId="34" xfId="0" applyNumberFormat="1" applyFont="1" applyFill="1" applyBorder="1"/>
    <xf numFmtId="3" fontId="1" fillId="7" borderId="34" xfId="0" applyNumberFormat="1" applyFont="1" applyFill="1" applyBorder="1" applyAlignment="1">
      <alignment horizontal="right" wrapText="1"/>
    </xf>
    <xf numFmtId="3" fontId="1" fillId="7" borderId="45" xfId="0" applyNumberFormat="1" applyFont="1" applyFill="1" applyBorder="1"/>
    <xf numFmtId="3" fontId="1" fillId="7" borderId="18" xfId="0" applyNumberFormat="1" applyFont="1" applyFill="1" applyBorder="1" applyAlignment="1">
      <alignment vertical="center"/>
    </xf>
    <xf numFmtId="3" fontId="1" fillId="7" borderId="18" xfId="0" applyNumberFormat="1" applyFont="1" applyFill="1" applyBorder="1" applyAlignment="1">
      <alignment horizontal="right" wrapText="1"/>
    </xf>
    <xf numFmtId="3" fontId="1" fillId="7" borderId="46" xfId="0" applyNumberFormat="1" applyFont="1" applyFill="1" applyBorder="1" applyAlignment="1">
      <alignment horizontal="right" wrapText="1"/>
    </xf>
    <xf numFmtId="3" fontId="12" fillId="7" borderId="46" xfId="0" applyNumberFormat="1" applyFont="1" applyFill="1" applyBorder="1" applyAlignment="1">
      <alignment horizontal="right" wrapText="1"/>
    </xf>
    <xf numFmtId="3" fontId="3" fillId="7" borderId="46" xfId="0" applyNumberFormat="1" applyFont="1" applyFill="1" applyBorder="1" applyAlignment="1">
      <alignment horizontal="right" vertical="center" wrapText="1"/>
    </xf>
    <xf numFmtId="3" fontId="1" fillId="7" borderId="34" xfId="0" applyNumberFormat="1" applyFont="1" applyFill="1" applyBorder="1" applyAlignment="1">
      <alignment horizontal="right" vertical="center"/>
    </xf>
    <xf numFmtId="3" fontId="1" fillId="7" borderId="18" xfId="0" applyNumberFormat="1" applyFont="1" applyFill="1" applyBorder="1" applyAlignment="1"/>
    <xf numFmtId="3" fontId="1" fillId="7" borderId="46" xfId="0" applyNumberFormat="1" applyFont="1" applyFill="1" applyBorder="1" applyAlignment="1"/>
    <xf numFmtId="3" fontId="3" fillId="7" borderId="46" xfId="0" applyNumberFormat="1" applyFont="1" applyFill="1" applyBorder="1" applyAlignment="1">
      <alignment vertical="center" wrapText="1"/>
    </xf>
    <xf numFmtId="3" fontId="12" fillId="7" borderId="45" xfId="0" applyNumberFormat="1" applyFont="1" applyFill="1" applyBorder="1" applyAlignment="1"/>
    <xf numFmtId="3" fontId="5" fillId="7" borderId="41" xfId="0" applyNumberFormat="1" applyFont="1" applyFill="1" applyBorder="1"/>
    <xf numFmtId="3" fontId="12" fillId="7" borderId="43" xfId="0" applyNumberFormat="1" applyFont="1" applyFill="1" applyBorder="1" applyAlignment="1">
      <alignment horizontal="right" wrapText="1"/>
    </xf>
    <xf numFmtId="0" fontId="14" fillId="7" borderId="0" xfId="0" applyFont="1" applyFill="1" applyBorder="1" applyAlignment="1">
      <alignment horizontal="right" wrapText="1"/>
    </xf>
    <xf numFmtId="0" fontId="14" fillId="7" borderId="0" xfId="0" applyFont="1" applyFill="1" applyBorder="1"/>
    <xf numFmtId="0" fontId="3" fillId="7" borderId="0" xfId="0" applyFont="1" applyFill="1" applyBorder="1" applyAlignment="1">
      <alignment horizontal="centerContinuous"/>
    </xf>
    <xf numFmtId="3" fontId="3" fillId="7" borderId="33" xfId="0" applyNumberFormat="1" applyFont="1" applyFill="1" applyBorder="1"/>
    <xf numFmtId="164" fontId="1" fillId="7" borderId="16" xfId="0" applyNumberFormat="1" applyFont="1" applyFill="1" applyBorder="1" applyAlignment="1">
      <alignment vertical="center" wrapText="1"/>
    </xf>
    <xf numFmtId="164" fontId="1" fillId="7" borderId="8" xfId="0" applyNumberFormat="1" applyFont="1" applyFill="1" applyBorder="1" applyAlignment="1">
      <alignment vertical="center" wrapText="1"/>
    </xf>
    <xf numFmtId="164" fontId="1" fillId="7" borderId="6" xfId="0" applyNumberFormat="1" applyFont="1" applyFill="1" applyBorder="1"/>
    <xf numFmtId="3" fontId="3" fillId="7" borderId="16" xfId="0" applyNumberFormat="1" applyFont="1" applyFill="1" applyBorder="1"/>
    <xf numFmtId="3" fontId="1" fillId="7" borderId="18" xfId="0" applyNumberFormat="1" applyFont="1" applyFill="1" applyBorder="1"/>
    <xf numFmtId="0" fontId="3" fillId="7" borderId="3" xfId="0" applyFont="1" applyFill="1" applyBorder="1" applyAlignment="1">
      <alignment horizontal="center"/>
    </xf>
    <xf numFmtId="0" fontId="1" fillId="7" borderId="34" xfId="0" applyFont="1" applyFill="1" applyBorder="1" applyAlignment="1">
      <alignment horizontal="center"/>
    </xf>
    <xf numFmtId="164" fontId="1" fillId="7" borderId="34" xfId="0" applyNumberFormat="1" applyFont="1" applyFill="1" applyBorder="1" applyAlignment="1">
      <alignment horizontal="right" wrapText="1"/>
    </xf>
    <xf numFmtId="3" fontId="1" fillId="7" borderId="33" xfId="0" applyNumberFormat="1" applyFont="1" applyFill="1" applyBorder="1"/>
    <xf numFmtId="164" fontId="1" fillId="7" borderId="18" xfId="0" applyNumberFormat="1" applyFont="1" applyFill="1" applyBorder="1"/>
    <xf numFmtId="164" fontId="1" fillId="7" borderId="18" xfId="0" applyNumberFormat="1" applyFont="1" applyFill="1" applyBorder="1" applyAlignment="1">
      <alignment horizontal="right" wrapText="1"/>
    </xf>
    <xf numFmtId="3" fontId="1" fillId="7" borderId="41" xfId="0" applyNumberFormat="1" applyFont="1" applyFill="1" applyBorder="1"/>
    <xf numFmtId="0" fontId="1" fillId="0" borderId="0" xfId="0" applyFont="1" applyAlignment="1">
      <alignment wrapText="1"/>
    </xf>
    <xf numFmtId="3" fontId="1" fillId="8" borderId="0" xfId="0" applyNumberFormat="1" applyFont="1" applyFill="1"/>
    <xf numFmtId="0" fontId="1" fillId="8" borderId="0" xfId="0" applyFont="1" applyFill="1"/>
    <xf numFmtId="3" fontId="1" fillId="8" borderId="0" xfId="0" applyNumberFormat="1" applyFont="1" applyFill="1" applyAlignment="1">
      <alignment horizontal="centerContinuous"/>
    </xf>
    <xf numFmtId="0" fontId="1" fillId="8" borderId="0" xfId="0" applyFont="1" applyFill="1" applyAlignment="1">
      <alignment horizontal="centerContinuous"/>
    </xf>
    <xf numFmtId="0" fontId="3" fillId="8" borderId="3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1" fillId="8" borderId="34" xfId="0" applyFont="1" applyFill="1" applyBorder="1" applyAlignment="1">
      <alignment horizontal="center" wrapText="1"/>
    </xf>
    <xf numFmtId="0" fontId="1" fillId="8" borderId="8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Continuous"/>
    </xf>
    <xf numFmtId="0" fontId="1" fillId="8" borderId="12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3" fontId="4" fillId="8" borderId="8" xfId="0" applyNumberFormat="1" applyFont="1" applyFill="1" applyBorder="1" applyAlignment="1">
      <alignment horizontal="center"/>
    </xf>
    <xf numFmtId="3" fontId="7" fillId="8" borderId="8" xfId="0" applyNumberFormat="1" applyFont="1" applyFill="1" applyBorder="1"/>
    <xf numFmtId="3" fontId="1" fillId="8" borderId="8" xfId="0" applyNumberFormat="1" applyFont="1" applyFill="1" applyBorder="1" applyAlignment="1"/>
    <xf numFmtId="3" fontId="1" fillId="8" borderId="8" xfId="0" applyNumberFormat="1" applyFont="1" applyFill="1" applyBorder="1"/>
    <xf numFmtId="3" fontId="1" fillId="8" borderId="8" xfId="0" applyNumberFormat="1" applyFont="1" applyFill="1" applyBorder="1" applyAlignment="1">
      <alignment horizontal="right" wrapText="1"/>
    </xf>
    <xf numFmtId="3" fontId="1" fillId="8" borderId="6" xfId="0" applyNumberFormat="1" applyFont="1" applyFill="1" applyBorder="1"/>
    <xf numFmtId="3" fontId="1" fillId="8" borderId="16" xfId="0" applyNumberFormat="1" applyFont="1" applyFill="1" applyBorder="1" applyAlignment="1">
      <alignment vertical="center"/>
    </xf>
    <xf numFmtId="3" fontId="1" fillId="8" borderId="18" xfId="0" applyNumberFormat="1" applyFont="1" applyFill="1" applyBorder="1" applyAlignment="1">
      <alignment horizontal="right" wrapText="1"/>
    </xf>
    <xf numFmtId="3" fontId="1" fillId="8" borderId="16" xfId="0" applyNumberFormat="1" applyFont="1" applyFill="1" applyBorder="1" applyAlignment="1">
      <alignment horizontal="right" wrapText="1"/>
    </xf>
    <xf numFmtId="3" fontId="1" fillId="8" borderId="22" xfId="0" applyNumberFormat="1" applyFont="1" applyFill="1" applyBorder="1" applyAlignment="1">
      <alignment horizontal="right" wrapText="1"/>
    </xf>
    <xf numFmtId="3" fontId="12" fillId="8" borderId="22" xfId="0" applyNumberFormat="1" applyFont="1" applyFill="1" applyBorder="1" applyAlignment="1">
      <alignment horizontal="right" wrapText="1"/>
    </xf>
    <xf numFmtId="3" fontId="3" fillId="8" borderId="22" xfId="0" applyNumberFormat="1" applyFont="1" applyFill="1" applyBorder="1" applyAlignment="1">
      <alignment horizontal="right" vertical="center" wrapText="1"/>
    </xf>
    <xf numFmtId="3" fontId="1" fillId="8" borderId="8" xfId="0" applyNumberFormat="1" applyFont="1" applyFill="1" applyBorder="1" applyAlignment="1">
      <alignment vertical="center"/>
    </xf>
    <xf numFmtId="3" fontId="1" fillId="8" borderId="8" xfId="0" applyNumberFormat="1" applyFont="1" applyFill="1" applyBorder="1" applyAlignment="1">
      <alignment horizontal="right" vertical="center"/>
    </xf>
    <xf numFmtId="3" fontId="1" fillId="8" borderId="16" xfId="0" applyNumberFormat="1" applyFont="1" applyFill="1" applyBorder="1" applyAlignment="1"/>
    <xf numFmtId="3" fontId="1" fillId="8" borderId="22" xfId="0" applyNumberFormat="1" applyFont="1" applyFill="1" applyBorder="1" applyAlignment="1"/>
    <xf numFmtId="3" fontId="3" fillId="8" borderId="22" xfId="0" applyNumberFormat="1" applyFont="1" applyFill="1" applyBorder="1" applyAlignment="1">
      <alignment vertical="center" wrapText="1"/>
    </xf>
    <xf numFmtId="3" fontId="12" fillId="8" borderId="6" xfId="0" applyNumberFormat="1" applyFont="1" applyFill="1" applyBorder="1" applyAlignment="1"/>
    <xf numFmtId="3" fontId="5" fillId="8" borderId="26" xfId="0" applyNumberFormat="1" applyFont="1" applyFill="1" applyBorder="1"/>
    <xf numFmtId="3" fontId="12" fillId="8" borderId="30" xfId="0" applyNumberFormat="1" applyFont="1" applyFill="1" applyBorder="1" applyAlignment="1">
      <alignment horizontal="right" wrapText="1"/>
    </xf>
    <xf numFmtId="0" fontId="14" fillId="8" borderId="0" xfId="0" applyFont="1" applyFill="1" applyBorder="1" applyAlignment="1">
      <alignment horizontal="right" wrapText="1"/>
    </xf>
    <xf numFmtId="0" fontId="14" fillId="8" borderId="0" xfId="0" applyFont="1" applyFill="1" applyBorder="1"/>
    <xf numFmtId="165" fontId="3" fillId="8" borderId="0" xfId="0" applyNumberFormat="1" applyFont="1" applyFill="1" applyBorder="1" applyAlignment="1">
      <alignment horizontal="center"/>
    </xf>
    <xf numFmtId="0" fontId="3" fillId="8" borderId="0" xfId="0" applyFont="1" applyFill="1" applyBorder="1" applyAlignment="1">
      <alignment horizontal="centerContinuous"/>
    </xf>
    <xf numFmtId="165" fontId="3" fillId="8" borderId="33" xfId="0" applyNumberFormat="1" applyFont="1" applyFill="1" applyBorder="1"/>
    <xf numFmtId="3" fontId="3" fillId="8" borderId="33" xfId="0" applyNumberFormat="1" applyFont="1" applyFill="1" applyBorder="1"/>
    <xf numFmtId="164" fontId="1" fillId="8" borderId="16" xfId="0" applyNumberFormat="1" applyFont="1" applyFill="1" applyBorder="1" applyAlignment="1">
      <alignment vertical="center" wrapText="1"/>
    </xf>
    <xf numFmtId="164" fontId="1" fillId="8" borderId="8" xfId="0" applyNumberFormat="1" applyFont="1" applyFill="1" applyBorder="1" applyAlignment="1">
      <alignment vertical="center" wrapText="1"/>
    </xf>
    <xf numFmtId="164" fontId="1" fillId="8" borderId="6" xfId="0" applyNumberFormat="1" applyFont="1" applyFill="1" applyBorder="1"/>
    <xf numFmtId="3" fontId="3" fillId="8" borderId="16" xfId="0" applyNumberFormat="1" applyFont="1" applyFill="1" applyBorder="1"/>
    <xf numFmtId="3" fontId="1" fillId="8" borderId="18" xfId="0" applyNumberFormat="1" applyFont="1" applyFill="1" applyBorder="1"/>
    <xf numFmtId="0" fontId="3" fillId="8" borderId="35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 wrapText="1"/>
    </xf>
    <xf numFmtId="0" fontId="1" fillId="8" borderId="34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8" borderId="36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4" fillId="8" borderId="34" xfId="0" applyFont="1" applyFill="1" applyBorder="1" applyAlignment="1">
      <alignment horizontal="center"/>
    </xf>
    <xf numFmtId="3" fontId="1" fillId="8" borderId="9" xfId="0" applyNumberFormat="1" applyFont="1" applyFill="1" applyBorder="1" applyAlignment="1">
      <alignment horizontal="right" wrapText="1"/>
    </xf>
    <xf numFmtId="3" fontId="1" fillId="8" borderId="34" xfId="0" applyNumberFormat="1" applyFont="1" applyFill="1" applyBorder="1" applyAlignment="1">
      <alignment horizontal="right" wrapText="1"/>
    </xf>
    <xf numFmtId="164" fontId="1" fillId="8" borderId="8" xfId="0" applyNumberFormat="1" applyFont="1" applyFill="1" applyBorder="1" applyAlignment="1">
      <alignment horizontal="right" wrapText="1"/>
    </xf>
    <xf numFmtId="3" fontId="1" fillId="8" borderId="20" xfId="0" applyNumberFormat="1" applyFont="1" applyFill="1" applyBorder="1"/>
    <xf numFmtId="3" fontId="1" fillId="8" borderId="16" xfId="0" applyNumberFormat="1" applyFont="1" applyFill="1" applyBorder="1"/>
    <xf numFmtId="3" fontId="1" fillId="8" borderId="38" xfId="0" applyNumberFormat="1" applyFont="1" applyFill="1" applyBorder="1" applyAlignment="1">
      <alignment horizontal="right"/>
    </xf>
    <xf numFmtId="3" fontId="1" fillId="8" borderId="33" xfId="0" applyNumberFormat="1" applyFont="1" applyFill="1" applyBorder="1"/>
    <xf numFmtId="3" fontId="1" fillId="8" borderId="39" xfId="0" applyNumberFormat="1" applyFont="1" applyFill="1" applyBorder="1"/>
    <xf numFmtId="3" fontId="1" fillId="8" borderId="9" xfId="0" applyNumberFormat="1" applyFont="1" applyFill="1" applyBorder="1"/>
    <xf numFmtId="3" fontId="1" fillId="8" borderId="34" xfId="0" applyNumberFormat="1" applyFont="1" applyFill="1" applyBorder="1"/>
    <xf numFmtId="3" fontId="1" fillId="8" borderId="20" xfId="0" applyNumberFormat="1" applyFont="1" applyFill="1" applyBorder="1" applyAlignment="1">
      <alignment horizontal="right" wrapText="1"/>
    </xf>
    <xf numFmtId="3" fontId="5" fillId="8" borderId="27" xfId="0" applyNumberFormat="1" applyFont="1" applyFill="1" applyBorder="1"/>
    <xf numFmtId="3" fontId="1" fillId="8" borderId="41" xfId="0" applyNumberFormat="1" applyFont="1" applyFill="1" applyBorder="1"/>
    <xf numFmtId="3" fontId="1" fillId="8" borderId="26" xfId="0" applyNumberFormat="1" applyFont="1" applyFill="1" applyBorder="1"/>
    <xf numFmtId="3" fontId="15" fillId="8" borderId="18" xfId="0" applyNumberFormat="1" applyFont="1" applyFill="1" applyBorder="1"/>
    <xf numFmtId="3" fontId="15" fillId="8" borderId="16" xfId="0" applyNumberFormat="1" applyFont="1" applyFill="1" applyBorder="1"/>
    <xf numFmtId="0" fontId="17" fillId="0" borderId="0" xfId="0" applyFont="1" applyFill="1" applyBorder="1" applyAlignment="1">
      <alignment vertical="center"/>
    </xf>
    <xf numFmtId="3" fontId="1" fillId="7" borderId="0" xfId="0" applyNumberFormat="1" applyFont="1" applyFill="1"/>
    <xf numFmtId="0" fontId="3" fillId="7" borderId="2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Continuous"/>
    </xf>
    <xf numFmtId="0" fontId="1" fillId="7" borderId="8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Continuous"/>
    </xf>
    <xf numFmtId="0" fontId="3" fillId="7" borderId="8" xfId="0" applyFont="1" applyFill="1" applyBorder="1" applyAlignment="1">
      <alignment horizontal="centerContinuous"/>
    </xf>
    <xf numFmtId="0" fontId="1" fillId="7" borderId="12" xfId="0" applyFont="1" applyFill="1" applyBorder="1" applyAlignment="1">
      <alignment horizontal="center"/>
    </xf>
    <xf numFmtId="0" fontId="4" fillId="7" borderId="8" xfId="0" applyFont="1" applyFill="1" applyBorder="1" applyAlignment="1">
      <alignment horizontal="center"/>
    </xf>
    <xf numFmtId="3" fontId="25" fillId="7" borderId="33" xfId="0" applyNumberFormat="1" applyFont="1" applyFill="1" applyBorder="1"/>
    <xf numFmtId="0" fontId="14" fillId="0" borderId="0" xfId="0" applyFont="1" applyFill="1" applyAlignment="1">
      <alignment wrapText="1"/>
    </xf>
    <xf numFmtId="3" fontId="1" fillId="0" borderId="34" xfId="0" applyNumberFormat="1" applyFont="1" applyFill="1" applyBorder="1" applyAlignment="1">
      <alignment horizontal="right" vertical="center"/>
    </xf>
    <xf numFmtId="0" fontId="1" fillId="7" borderId="0" xfId="0" applyFont="1" applyFill="1"/>
    <xf numFmtId="0" fontId="1" fillId="7" borderId="0" xfId="0" applyFont="1" applyFill="1" applyAlignment="1">
      <alignment horizontal="centerContinuous"/>
    </xf>
    <xf numFmtId="0" fontId="3" fillId="0" borderId="35" xfId="0" applyFont="1" applyFill="1" applyBorder="1" applyAlignment="1">
      <alignment horizontal="center"/>
    </xf>
    <xf numFmtId="0" fontId="1" fillId="0" borderId="48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164" fontId="1" fillId="0" borderId="48" xfId="0" applyNumberFormat="1" applyFont="1" applyFill="1" applyBorder="1" applyAlignment="1">
      <alignment horizontal="right" wrapText="1"/>
    </xf>
    <xf numFmtId="3" fontId="1" fillId="0" borderId="42" xfId="0" applyNumberFormat="1" applyFont="1" applyFill="1" applyBorder="1"/>
    <xf numFmtId="164" fontId="1" fillId="0" borderId="42" xfId="0" applyNumberFormat="1" applyFont="1" applyFill="1" applyBorder="1"/>
    <xf numFmtId="164" fontId="1" fillId="0" borderId="42" xfId="0" applyNumberFormat="1" applyFont="1" applyFill="1" applyBorder="1" applyAlignment="1">
      <alignment horizontal="right" wrapText="1"/>
    </xf>
    <xf numFmtId="3" fontId="1" fillId="0" borderId="51" xfId="0" applyNumberFormat="1" applyFont="1" applyFill="1" applyBorder="1"/>
    <xf numFmtId="3" fontId="15" fillId="7" borderId="18" xfId="0" applyNumberFormat="1" applyFont="1" applyFill="1" applyBorder="1"/>
    <xf numFmtId="3" fontId="15" fillId="7" borderId="16" xfId="0" applyNumberFormat="1" applyFont="1" applyFill="1" applyBorder="1"/>
    <xf numFmtId="3" fontId="11" fillId="0" borderId="34" xfId="0" applyNumberFormat="1" applyFont="1" applyFill="1" applyBorder="1" applyAlignment="1"/>
    <xf numFmtId="3" fontId="1" fillId="0" borderId="34" xfId="0" applyNumberFormat="1" applyFont="1" applyFill="1" applyBorder="1" applyAlignment="1">
      <alignment vertical="center"/>
    </xf>
    <xf numFmtId="3" fontId="1" fillId="7" borderId="33" xfId="0" applyNumberFormat="1" applyFont="1" applyFill="1" applyBorder="1" applyAlignment="1">
      <alignment vertical="center"/>
    </xf>
    <xf numFmtId="0" fontId="0" fillId="7" borderId="34" xfId="0" applyFill="1" applyBorder="1" applyAlignment="1">
      <alignment vertical="center"/>
    </xf>
    <xf numFmtId="3" fontId="1" fillId="3" borderId="33" xfId="0" applyNumberFormat="1" applyFont="1" applyFill="1" applyBorder="1" applyAlignment="1">
      <alignment vertical="center"/>
    </xf>
    <xf numFmtId="0" fontId="0" fillId="0" borderId="34" xfId="0" applyBorder="1" applyAlignment="1">
      <alignment vertical="center"/>
    </xf>
    <xf numFmtId="3" fontId="1" fillId="0" borderId="33" xfId="0" applyNumberFormat="1" applyFont="1" applyFill="1" applyBorder="1" applyAlignment="1">
      <alignment horizontal="right" vertical="center"/>
    </xf>
    <xf numFmtId="3" fontId="1" fillId="0" borderId="34" xfId="0" applyNumberFormat="1" applyFont="1" applyFill="1" applyBorder="1" applyAlignment="1">
      <alignment horizontal="right" vertical="center"/>
    </xf>
    <xf numFmtId="3" fontId="1" fillId="0" borderId="33" xfId="0" applyNumberFormat="1" applyFont="1" applyFill="1" applyBorder="1" applyAlignment="1">
      <alignment vertical="center"/>
    </xf>
    <xf numFmtId="0" fontId="0" fillId="0" borderId="34" xfId="0" applyFill="1" applyBorder="1" applyAlignment="1">
      <alignment vertical="center"/>
    </xf>
    <xf numFmtId="3" fontId="1" fillId="2" borderId="33" xfId="0" applyNumberFormat="1" applyFont="1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164" fontId="1" fillId="0" borderId="40" xfId="0" applyNumberFormat="1" applyFont="1" applyFill="1" applyBorder="1" applyAlignment="1">
      <alignment vertical="center"/>
    </xf>
    <xf numFmtId="164" fontId="1" fillId="0" borderId="10" xfId="0" applyNumberFormat="1" applyFont="1" applyFill="1" applyBorder="1" applyAlignment="1">
      <alignment vertical="center"/>
    </xf>
    <xf numFmtId="0" fontId="1" fillId="0" borderId="54" xfId="0" applyFont="1" applyFill="1" applyBorder="1" applyAlignment="1">
      <alignment vertical="center"/>
    </xf>
    <xf numFmtId="0" fontId="0" fillId="0" borderId="54" xfId="0" applyBorder="1" applyAlignment="1">
      <alignment vertical="center"/>
    </xf>
    <xf numFmtId="3" fontId="1" fillId="7" borderId="33" xfId="0" applyNumberFormat="1" applyFont="1" applyFill="1" applyBorder="1" applyAlignment="1">
      <alignment horizontal="right" vertical="center"/>
    </xf>
    <xf numFmtId="3" fontId="1" fillId="7" borderId="34" xfId="0" applyNumberFormat="1" applyFont="1" applyFill="1" applyBorder="1" applyAlignment="1">
      <alignment horizontal="right" vertical="center"/>
    </xf>
    <xf numFmtId="3" fontId="1" fillId="0" borderId="34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T113"/>
  <sheetViews>
    <sheetView zoomScale="98" zoomScaleNormal="98" workbookViewId="0">
      <pane xSplit="4" ySplit="10" topLeftCell="Z69" activePane="bottomRight" state="frozen"/>
      <selection pane="topRight" activeCell="E1" sqref="E1"/>
      <selection pane="bottomLeft" activeCell="A10" sqref="A10"/>
      <selection pane="bottomRight" activeCell="AV15" sqref="AV15"/>
    </sheetView>
  </sheetViews>
  <sheetFormatPr defaultColWidth="9.109375" defaultRowHeight="13.2" x14ac:dyDescent="0.25"/>
  <cols>
    <col min="1" max="1" width="2.109375" style="1" customWidth="1"/>
    <col min="2" max="2" width="0" style="1" hidden="1" customWidth="1"/>
    <col min="3" max="3" width="4.44140625" style="1" customWidth="1"/>
    <col min="4" max="4" width="51.44140625" style="1" customWidth="1"/>
    <col min="5" max="6" width="10.33203125" style="287" hidden="1" customWidth="1"/>
    <col min="7" max="7" width="2" style="287" hidden="1" customWidth="1"/>
    <col min="8" max="8" width="10.33203125" style="287" hidden="1" customWidth="1"/>
    <col min="9" max="9" width="2" style="287" hidden="1" customWidth="1"/>
    <col min="10" max="10" width="10.33203125" style="446" hidden="1" customWidth="1"/>
    <col min="11" max="12" width="9.5546875" style="446" hidden="1" customWidth="1"/>
    <col min="13" max="15" width="10.109375" style="446" hidden="1" customWidth="1"/>
    <col min="16" max="16" width="10.109375" style="1" hidden="1" customWidth="1"/>
    <col min="17" max="19" width="10.109375" style="3" hidden="1" customWidth="1"/>
    <col min="20" max="20" width="10.109375" style="3" customWidth="1"/>
    <col min="21" max="21" width="10.109375" style="3" hidden="1" customWidth="1"/>
    <col min="22" max="22" width="10.109375" style="3" customWidth="1"/>
    <col min="23" max="23" width="10.109375" style="3" hidden="1" customWidth="1"/>
    <col min="24" max="24" width="10.109375" style="3" customWidth="1"/>
    <col min="25" max="25" width="10.109375" style="3" hidden="1" customWidth="1"/>
    <col min="26" max="26" width="10.109375" style="3" customWidth="1"/>
    <col min="27" max="27" width="10.109375" style="3" hidden="1" customWidth="1"/>
    <col min="28" max="28" width="10.109375" style="3" customWidth="1"/>
    <col min="29" max="29" width="10.109375" style="3" hidden="1" customWidth="1"/>
    <col min="30" max="30" width="10.109375" style="3" customWidth="1"/>
    <col min="31" max="31" width="10.109375" style="3" hidden="1" customWidth="1"/>
    <col min="32" max="32" width="10.109375" style="3" customWidth="1"/>
    <col min="33" max="33" width="10.109375" style="3" hidden="1" customWidth="1"/>
    <col min="34" max="34" width="10.109375" style="3" customWidth="1"/>
    <col min="35" max="35" width="10.109375" style="3" hidden="1" customWidth="1"/>
    <col min="36" max="36" width="10.109375" style="3" customWidth="1"/>
    <col min="37" max="37" width="10.109375" style="3" hidden="1" customWidth="1"/>
    <col min="38" max="38" width="10.109375" style="522" hidden="1" customWidth="1"/>
    <col min="39" max="41" width="10.109375" style="3" customWidth="1"/>
    <col min="42" max="42" width="11.44140625" style="1" customWidth="1"/>
    <col min="43" max="43" width="5.44140625" style="1" customWidth="1"/>
    <col min="44" max="44" width="9.109375" style="1"/>
    <col min="45" max="46" width="9.109375" style="1" hidden="1" customWidth="1"/>
    <col min="47" max="16384" width="9.109375" style="1"/>
  </cols>
  <sheetData>
    <row r="2" spans="2:46" x14ac:dyDescent="0.25">
      <c r="J2" s="445"/>
      <c r="L2" s="445"/>
      <c r="AP2" s="1" t="s">
        <v>124</v>
      </c>
    </row>
    <row r="3" spans="2:46" ht="15.6" x14ac:dyDescent="0.3">
      <c r="D3" s="4" t="s">
        <v>0</v>
      </c>
      <c r="E3" s="288"/>
      <c r="F3" s="288"/>
      <c r="G3" s="288"/>
      <c r="H3" s="288"/>
      <c r="I3" s="288"/>
      <c r="J3" s="447"/>
      <c r="K3" s="448"/>
      <c r="L3" s="448"/>
      <c r="M3" s="448"/>
      <c r="N3" s="448"/>
      <c r="O3" s="448"/>
      <c r="P3" s="5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523"/>
      <c r="AM3" s="6"/>
      <c r="AN3" s="6"/>
      <c r="AO3" s="6"/>
      <c r="AP3" s="5"/>
      <c r="AQ3" s="5"/>
    </row>
    <row r="4" spans="2:46" ht="13.8" thickBot="1" x14ac:dyDescent="0.3"/>
    <row r="5" spans="2:46" ht="13.8" thickTop="1" x14ac:dyDescent="0.25">
      <c r="C5" s="7" t="s">
        <v>1</v>
      </c>
      <c r="D5" s="8"/>
      <c r="E5" s="289">
        <v>2000</v>
      </c>
      <c r="F5" s="290">
        <v>2001</v>
      </c>
      <c r="G5" s="289"/>
      <c r="H5" s="290">
        <v>2002</v>
      </c>
      <c r="I5" s="289"/>
      <c r="J5" s="449">
        <v>2003</v>
      </c>
      <c r="K5" s="449">
        <v>2004</v>
      </c>
      <c r="L5" s="449">
        <v>2005</v>
      </c>
      <c r="M5" s="450">
        <v>2005</v>
      </c>
      <c r="N5" s="450">
        <v>2006</v>
      </c>
      <c r="O5" s="450">
        <v>2006</v>
      </c>
      <c r="P5" s="512">
        <v>2007</v>
      </c>
      <c r="Q5" s="513">
        <v>2007</v>
      </c>
      <c r="R5" s="513">
        <v>2008</v>
      </c>
      <c r="S5" s="153">
        <v>2008</v>
      </c>
      <c r="T5" s="10">
        <v>2009</v>
      </c>
      <c r="U5" s="153">
        <v>2009</v>
      </c>
      <c r="V5" s="10">
        <v>2010</v>
      </c>
      <c r="W5" s="279">
        <v>2010</v>
      </c>
      <c r="X5" s="10">
        <v>2011</v>
      </c>
      <c r="Y5" s="279">
        <v>2011</v>
      </c>
      <c r="Z5" s="218">
        <v>2012</v>
      </c>
      <c r="AA5" s="279">
        <v>2012</v>
      </c>
      <c r="AB5" s="218">
        <v>2013</v>
      </c>
      <c r="AC5" s="279">
        <v>2013</v>
      </c>
      <c r="AD5" s="382">
        <v>2014</v>
      </c>
      <c r="AE5" s="279">
        <v>2014</v>
      </c>
      <c r="AF5" s="218">
        <v>2015</v>
      </c>
      <c r="AG5" s="406">
        <v>2015</v>
      </c>
      <c r="AH5" s="218">
        <v>2016</v>
      </c>
      <c r="AI5" s="406">
        <v>2016</v>
      </c>
      <c r="AJ5" s="218">
        <v>2017</v>
      </c>
      <c r="AK5" s="406">
        <v>2017</v>
      </c>
      <c r="AL5" s="437">
        <v>2018</v>
      </c>
      <c r="AM5" s="218">
        <v>2018</v>
      </c>
      <c r="AN5" s="218">
        <v>2019</v>
      </c>
      <c r="AO5" s="218">
        <v>2020</v>
      </c>
      <c r="AP5" s="11" t="s">
        <v>2</v>
      </c>
      <c r="AQ5" s="12"/>
    </row>
    <row r="6" spans="2:46" x14ac:dyDescent="0.25">
      <c r="C6" s="13"/>
      <c r="D6" s="14" t="s">
        <v>3</v>
      </c>
      <c r="E6" s="284" t="s">
        <v>4</v>
      </c>
      <c r="F6" s="291" t="s">
        <v>4</v>
      </c>
      <c r="G6" s="292"/>
      <c r="H6" s="293" t="s">
        <v>4</v>
      </c>
      <c r="I6" s="292"/>
      <c r="J6" s="451" t="s">
        <v>4</v>
      </c>
      <c r="K6" s="451" t="s">
        <v>4</v>
      </c>
      <c r="L6" s="451" t="s">
        <v>4</v>
      </c>
      <c r="M6" s="452" t="s">
        <v>5</v>
      </c>
      <c r="N6" s="452" t="s">
        <v>5</v>
      </c>
      <c r="O6" s="452" t="s">
        <v>4</v>
      </c>
      <c r="P6" s="514" t="s">
        <v>4</v>
      </c>
      <c r="Q6" s="515" t="s">
        <v>5</v>
      </c>
      <c r="R6" s="515" t="s">
        <v>4</v>
      </c>
      <c r="S6" s="198" t="s">
        <v>5</v>
      </c>
      <c r="T6" s="200" t="s">
        <v>86</v>
      </c>
      <c r="U6" s="198" t="s">
        <v>5</v>
      </c>
      <c r="V6" s="200" t="s">
        <v>86</v>
      </c>
      <c r="W6" s="280" t="s">
        <v>5</v>
      </c>
      <c r="X6" s="200" t="s">
        <v>86</v>
      </c>
      <c r="Y6" s="280" t="s">
        <v>5</v>
      </c>
      <c r="Z6" s="219" t="s">
        <v>86</v>
      </c>
      <c r="AA6" s="280" t="s">
        <v>5</v>
      </c>
      <c r="AB6" s="219" t="s">
        <v>4</v>
      </c>
      <c r="AC6" s="280" t="s">
        <v>106</v>
      </c>
      <c r="AD6" s="383" t="s">
        <v>4</v>
      </c>
      <c r="AE6" s="280" t="s">
        <v>5</v>
      </c>
      <c r="AF6" s="219" t="s">
        <v>4</v>
      </c>
      <c r="AG6" s="407" t="s">
        <v>5</v>
      </c>
      <c r="AH6" s="219" t="s">
        <v>4</v>
      </c>
      <c r="AI6" s="407" t="s">
        <v>5</v>
      </c>
      <c r="AJ6" s="219" t="s">
        <v>4</v>
      </c>
      <c r="AK6" s="407" t="s">
        <v>5</v>
      </c>
      <c r="AL6" s="438" t="s">
        <v>5</v>
      </c>
      <c r="AM6" s="219" t="s">
        <v>4</v>
      </c>
      <c r="AN6" s="219" t="s">
        <v>5</v>
      </c>
      <c r="AO6" s="219" t="s">
        <v>5</v>
      </c>
      <c r="AP6" s="199" t="s">
        <v>125</v>
      </c>
      <c r="AQ6" s="15"/>
    </row>
    <row r="7" spans="2:46" x14ac:dyDescent="0.25">
      <c r="C7" s="16"/>
      <c r="D7" s="17"/>
      <c r="E7" s="294"/>
      <c r="F7" s="295"/>
      <c r="G7" s="294"/>
      <c r="H7" s="295"/>
      <c r="I7" s="294"/>
      <c r="J7" s="453"/>
      <c r="K7" s="453"/>
      <c r="L7" s="453"/>
      <c r="M7" s="453"/>
      <c r="N7" s="453"/>
      <c r="O7" s="453"/>
      <c r="P7" s="516"/>
      <c r="Q7" s="516"/>
      <c r="R7" s="516"/>
      <c r="S7" s="20"/>
      <c r="T7" s="18"/>
      <c r="U7" s="245"/>
      <c r="V7" s="18"/>
      <c r="W7" s="245"/>
      <c r="X7" s="18"/>
      <c r="Y7" s="245"/>
      <c r="Z7" s="220"/>
      <c r="AA7" s="245"/>
      <c r="AB7" s="220"/>
      <c r="AC7" s="245"/>
      <c r="AD7" s="384"/>
      <c r="AE7" s="245"/>
      <c r="AF7" s="220"/>
      <c r="AG7" s="408"/>
      <c r="AH7" s="220"/>
      <c r="AI7" s="408"/>
      <c r="AJ7" s="220"/>
      <c r="AK7" s="408"/>
      <c r="AL7" s="408"/>
      <c r="AM7" s="220"/>
      <c r="AN7" s="220"/>
      <c r="AO7" s="220"/>
      <c r="AP7" s="21"/>
      <c r="AQ7" s="22"/>
    </row>
    <row r="8" spans="2:46" ht="13.8" thickBot="1" x14ac:dyDescent="0.3">
      <c r="C8" s="24"/>
      <c r="D8" s="25" t="s">
        <v>6</v>
      </c>
      <c r="E8" s="296"/>
      <c r="F8" s="285"/>
      <c r="G8" s="296"/>
      <c r="H8" s="285"/>
      <c r="I8" s="296"/>
      <c r="J8" s="454"/>
      <c r="K8" s="454"/>
      <c r="L8" s="454"/>
      <c r="M8" s="454"/>
      <c r="N8" s="454"/>
      <c r="O8" s="454"/>
      <c r="P8" s="517"/>
      <c r="Q8" s="517"/>
      <c r="R8" s="517"/>
      <c r="S8" s="27"/>
      <c r="T8" s="26">
        <v>1</v>
      </c>
      <c r="U8" s="158"/>
      <c r="V8" s="26">
        <v>2</v>
      </c>
      <c r="W8" s="158"/>
      <c r="X8" s="26">
        <v>3</v>
      </c>
      <c r="Y8" s="158"/>
      <c r="Z8" s="157">
        <v>4</v>
      </c>
      <c r="AA8" s="158"/>
      <c r="AB8" s="157">
        <v>5</v>
      </c>
      <c r="AC8" s="158"/>
      <c r="AD8" s="385">
        <v>6</v>
      </c>
      <c r="AE8" s="158"/>
      <c r="AF8" s="157">
        <v>7</v>
      </c>
      <c r="AG8" s="409"/>
      <c r="AH8" s="157">
        <v>8</v>
      </c>
      <c r="AI8" s="409"/>
      <c r="AJ8" s="157">
        <v>9</v>
      </c>
      <c r="AK8" s="409"/>
      <c r="AL8" s="409"/>
      <c r="AM8" s="157">
        <v>10</v>
      </c>
      <c r="AN8" s="157">
        <v>11</v>
      </c>
      <c r="AO8" s="157">
        <v>12</v>
      </c>
      <c r="AP8" s="28" t="s">
        <v>126</v>
      </c>
      <c r="AQ8" s="15"/>
    </row>
    <row r="9" spans="2:46" ht="13.8" thickTop="1" x14ac:dyDescent="0.25">
      <c r="B9" s="1">
        <v>1</v>
      </c>
      <c r="C9" s="29"/>
      <c r="D9" s="30"/>
      <c r="E9" s="297"/>
      <c r="F9" s="286"/>
      <c r="G9" s="297"/>
      <c r="H9" s="286"/>
      <c r="I9" s="297"/>
      <c r="J9" s="455"/>
      <c r="K9" s="455"/>
      <c r="L9" s="455"/>
      <c r="M9" s="456"/>
      <c r="N9" s="456"/>
      <c r="O9" s="456"/>
      <c r="P9" s="32"/>
      <c r="Q9" s="161"/>
      <c r="R9" s="31"/>
      <c r="S9" s="161"/>
      <c r="T9" s="31"/>
      <c r="U9" s="234"/>
      <c r="V9" s="160"/>
      <c r="W9" s="234"/>
      <c r="X9" s="160"/>
      <c r="Y9" s="234"/>
      <c r="Z9" s="160"/>
      <c r="AA9" s="234"/>
      <c r="AB9" s="160"/>
      <c r="AC9" s="234"/>
      <c r="AD9" s="386"/>
      <c r="AE9" s="234"/>
      <c r="AF9" s="160"/>
      <c r="AG9" s="410"/>
      <c r="AH9" s="160"/>
      <c r="AI9" s="410"/>
      <c r="AJ9" s="160"/>
      <c r="AK9" s="410"/>
      <c r="AL9" s="410"/>
      <c r="AM9" s="160"/>
      <c r="AN9" s="160"/>
      <c r="AO9" s="160"/>
      <c r="AP9" s="33"/>
      <c r="AQ9" s="34"/>
    </row>
    <row r="10" spans="2:46" ht="15.6" x14ac:dyDescent="0.25">
      <c r="B10" s="1">
        <v>1</v>
      </c>
      <c r="C10" s="35"/>
      <c r="D10" s="36" t="s">
        <v>7</v>
      </c>
      <c r="E10" s="297"/>
      <c r="F10" s="286"/>
      <c r="G10" s="297"/>
      <c r="H10" s="286"/>
      <c r="I10" s="297"/>
      <c r="J10" s="455"/>
      <c r="K10" s="455"/>
      <c r="L10" s="455"/>
      <c r="M10" s="456"/>
      <c r="N10" s="456"/>
      <c r="O10" s="456"/>
      <c r="P10" s="32"/>
      <c r="Q10" s="161"/>
      <c r="R10" s="31"/>
      <c r="S10" s="161"/>
      <c r="T10" s="31"/>
      <c r="U10" s="234"/>
      <c r="V10" s="160"/>
      <c r="W10" s="234"/>
      <c r="X10" s="160"/>
      <c r="Y10" s="234"/>
      <c r="Z10" s="160"/>
      <c r="AA10" s="234"/>
      <c r="AB10" s="160"/>
      <c r="AC10" s="234"/>
      <c r="AD10" s="386"/>
      <c r="AE10" s="234"/>
      <c r="AF10" s="160"/>
      <c r="AG10" s="410"/>
      <c r="AH10" s="160"/>
      <c r="AI10" s="410"/>
      <c r="AJ10" s="160"/>
      <c r="AK10" s="410"/>
      <c r="AL10" s="410"/>
      <c r="AM10" s="160"/>
      <c r="AN10" s="160"/>
      <c r="AO10" s="160"/>
      <c r="AP10" s="33"/>
      <c r="AQ10" s="34"/>
    </row>
    <row r="11" spans="2:46" ht="27.6" x14ac:dyDescent="0.3">
      <c r="B11" s="1">
        <v>1</v>
      </c>
      <c r="C11" s="37">
        <v>1</v>
      </c>
      <c r="D11" s="38" t="s">
        <v>75</v>
      </c>
      <c r="E11" s="298">
        <f>SUM(E12:E19)</f>
        <v>267332</v>
      </c>
      <c r="F11" s="299">
        <f>SUM(F12:F19)</f>
        <v>285089</v>
      </c>
      <c r="G11" s="298"/>
      <c r="H11" s="299">
        <f>SUM(H12:H19)</f>
        <v>305232</v>
      </c>
      <c r="I11" s="298"/>
      <c r="J11" s="457">
        <f>SUM(J12:J19)</f>
        <v>322140</v>
      </c>
      <c r="K11" s="457">
        <f>SUM(K12:K19)</f>
        <v>330934</v>
      </c>
      <c r="L11" s="457">
        <f>SUM(L12:L19)</f>
        <v>343502</v>
      </c>
      <c r="M11" s="457">
        <f>SUM(M12:M19)</f>
        <v>342084</v>
      </c>
      <c r="N11" s="457">
        <f>SUM(N12:N19)</f>
        <v>362598</v>
      </c>
      <c r="O11" s="457">
        <f t="shared" ref="O11:AO11" si="0">SUM(O12:O21)</f>
        <v>372954</v>
      </c>
      <c r="P11" s="39">
        <f t="shared" si="0"/>
        <v>413243</v>
      </c>
      <c r="Q11" s="40">
        <f t="shared" si="0"/>
        <v>416365</v>
      </c>
      <c r="R11" s="39">
        <f t="shared" si="0"/>
        <v>429217</v>
      </c>
      <c r="S11" s="40">
        <f t="shared" si="0"/>
        <v>421960</v>
      </c>
      <c r="T11" s="221">
        <f t="shared" si="0"/>
        <v>458842</v>
      </c>
      <c r="U11" s="246">
        <f t="shared" si="0"/>
        <v>449260</v>
      </c>
      <c r="V11" s="221">
        <f t="shared" si="0"/>
        <v>461426</v>
      </c>
      <c r="W11" s="246">
        <f>SUM(W12:W21)</f>
        <v>463220</v>
      </c>
      <c r="X11" s="221">
        <f t="shared" si="0"/>
        <v>474379</v>
      </c>
      <c r="Y11" s="246">
        <f t="shared" si="0"/>
        <v>476160</v>
      </c>
      <c r="Z11" s="221">
        <f t="shared" si="0"/>
        <v>486054</v>
      </c>
      <c r="AA11" s="246">
        <f t="shared" si="0"/>
        <v>496851</v>
      </c>
      <c r="AB11" s="221">
        <f t="shared" si="0"/>
        <v>495152</v>
      </c>
      <c r="AC11" s="246">
        <f t="shared" si="0"/>
        <v>504086</v>
      </c>
      <c r="AD11" s="221">
        <f t="shared" si="0"/>
        <v>502121</v>
      </c>
      <c r="AE11" s="246">
        <f t="shared" si="0"/>
        <v>512982</v>
      </c>
      <c r="AF11" s="221">
        <f t="shared" si="0"/>
        <v>512684</v>
      </c>
      <c r="AG11" s="221">
        <f t="shared" si="0"/>
        <v>518949</v>
      </c>
      <c r="AH11" s="221">
        <f t="shared" si="0"/>
        <v>520027</v>
      </c>
      <c r="AI11" s="411">
        <f t="shared" si="0"/>
        <v>522955</v>
      </c>
      <c r="AJ11" s="221">
        <f t="shared" si="0"/>
        <v>537450</v>
      </c>
      <c r="AK11" s="411">
        <f t="shared" si="0"/>
        <v>542621</v>
      </c>
      <c r="AL11" s="411">
        <f t="shared" ref="AL11" si="1">SUM(AL12:AL21)</f>
        <v>570885</v>
      </c>
      <c r="AM11" s="221">
        <f t="shared" si="0"/>
        <v>565377.4</v>
      </c>
      <c r="AN11" s="221">
        <f t="shared" si="0"/>
        <v>611611</v>
      </c>
      <c r="AO11" s="221">
        <f t="shared" si="0"/>
        <v>661621</v>
      </c>
      <c r="AP11" s="41">
        <f>IF(AN11=0," ",IF(AN11&gt;0,ROUND(AO11/AN11*100,1)))</f>
        <v>108.2</v>
      </c>
      <c r="AQ11" s="42"/>
      <c r="AR11" s="2"/>
      <c r="AS11" s="511">
        <v>570885</v>
      </c>
      <c r="AT11" s="511">
        <f>AN11-AS11</f>
        <v>40726</v>
      </c>
    </row>
    <row r="12" spans="2:46" ht="15.6" x14ac:dyDescent="0.25">
      <c r="B12" s="1">
        <v>1</v>
      </c>
      <c r="C12" s="37">
        <v>2</v>
      </c>
      <c r="D12" s="43" t="s">
        <v>80</v>
      </c>
      <c r="E12" s="300">
        <v>186852</v>
      </c>
      <c r="F12" s="301">
        <v>201110</v>
      </c>
      <c r="G12" s="300"/>
      <c r="H12" s="301">
        <f>213676-28</f>
        <v>213648</v>
      </c>
      <c r="I12" s="300"/>
      <c r="J12" s="458">
        <v>225833</v>
      </c>
      <c r="K12" s="458">
        <v>230897</v>
      </c>
      <c r="L12" s="458">
        <v>247390</v>
      </c>
      <c r="M12" s="458">
        <f>245976+7-400</f>
        <v>245583</v>
      </c>
      <c r="N12" s="458">
        <f>264006-500</f>
        <v>263506</v>
      </c>
      <c r="O12" s="458">
        <v>272911</v>
      </c>
      <c r="P12" s="44">
        <v>289855</v>
      </c>
      <c r="Q12" s="45">
        <f>288329-950</f>
        <v>287379</v>
      </c>
      <c r="R12" s="44">
        <v>312532</v>
      </c>
      <c r="S12" s="45">
        <f>305896-300</f>
        <v>305596</v>
      </c>
      <c r="T12" s="44">
        <v>339788</v>
      </c>
      <c r="U12" s="247">
        <v>336573</v>
      </c>
      <c r="V12" s="222">
        <v>346213</v>
      </c>
      <c r="W12" s="247">
        <f>354097-6874-1000</f>
        <v>346223</v>
      </c>
      <c r="X12" s="222">
        <v>368069</v>
      </c>
      <c r="Y12" s="247">
        <v>363970</v>
      </c>
      <c r="Z12" s="222">
        <v>382031</v>
      </c>
      <c r="AA12" s="247">
        <f>382658-150</f>
        <v>382508</v>
      </c>
      <c r="AB12" s="222">
        <v>382773</v>
      </c>
      <c r="AC12" s="247">
        <f>394126-1600</f>
        <v>392526</v>
      </c>
      <c r="AD12" s="387">
        <v>386150</v>
      </c>
      <c r="AE12" s="247">
        <f>392154-700</f>
        <v>391454</v>
      </c>
      <c r="AF12" s="222">
        <v>395507</v>
      </c>
      <c r="AG12" s="412">
        <v>394752</v>
      </c>
      <c r="AH12" s="222">
        <v>399265</v>
      </c>
      <c r="AI12" s="412">
        <f>403068-2400+600</f>
        <v>401268</v>
      </c>
      <c r="AJ12" s="222">
        <v>414653</v>
      </c>
      <c r="AK12" s="412">
        <f>412953+3500</f>
        <v>416453</v>
      </c>
      <c r="AL12" s="412">
        <f>438098-3700</f>
        <v>434398</v>
      </c>
      <c r="AM12" s="222">
        <v>434083</v>
      </c>
      <c r="AN12" s="222">
        <f>472184+285</f>
        <v>472469</v>
      </c>
      <c r="AO12" s="222">
        <f>509353-2000</f>
        <v>507353</v>
      </c>
      <c r="AP12" s="46">
        <f t="shared" ref="AP12:AP71" si="2">IF(AN12=0," ",IF(AN12&gt;0,ROUND(AO12/AN12*100,1)))</f>
        <v>107.4</v>
      </c>
      <c r="AQ12" s="47"/>
      <c r="AR12" s="2"/>
      <c r="AS12" s="511">
        <v>434398</v>
      </c>
      <c r="AT12" s="511">
        <f t="shared" ref="AT12:AT71" si="3">AN12-AS12</f>
        <v>38071</v>
      </c>
    </row>
    <row r="13" spans="2:46" x14ac:dyDescent="0.25">
      <c r="B13" s="1">
        <v>1</v>
      </c>
      <c r="C13" s="37">
        <v>3</v>
      </c>
      <c r="D13" s="43" t="s">
        <v>8</v>
      </c>
      <c r="E13" s="302">
        <v>27289</v>
      </c>
      <c r="F13" s="303">
        <v>29683</v>
      </c>
      <c r="G13" s="302"/>
      <c r="H13" s="303">
        <f>32763-35+4</f>
        <v>32732</v>
      </c>
      <c r="I13" s="302"/>
      <c r="J13" s="459">
        <v>34437</v>
      </c>
      <c r="K13" s="459">
        <v>29718</v>
      </c>
      <c r="L13" s="459">
        <v>31835</v>
      </c>
      <c r="M13" s="459">
        <f>31864-1993-597</f>
        <v>29274</v>
      </c>
      <c r="N13" s="459">
        <f>31991-1069</f>
        <v>30922</v>
      </c>
      <c r="O13" s="459">
        <v>32974</v>
      </c>
      <c r="P13" s="48">
        <v>34870</v>
      </c>
      <c r="Q13" s="49">
        <f>35680-3008</f>
        <v>32672</v>
      </c>
      <c r="R13" s="48">
        <v>32072</v>
      </c>
      <c r="S13" s="49">
        <v>29023</v>
      </c>
      <c r="T13" s="48">
        <v>26233</v>
      </c>
      <c r="U13" s="238">
        <f>29221-154</f>
        <v>29067</v>
      </c>
      <c r="V13" s="179">
        <v>22996</v>
      </c>
      <c r="W13" s="238">
        <f>28602-4020-800</f>
        <v>23782</v>
      </c>
      <c r="X13" s="179">
        <v>21734</v>
      </c>
      <c r="Y13" s="238">
        <v>21927</v>
      </c>
      <c r="Z13" s="179">
        <v>19602</v>
      </c>
      <c r="AA13" s="238">
        <v>22863</v>
      </c>
      <c r="AB13" s="179">
        <v>20350</v>
      </c>
      <c r="AC13" s="238">
        <f>21686-1300</f>
        <v>20386</v>
      </c>
      <c r="AD13" s="388">
        <v>22283</v>
      </c>
      <c r="AE13" s="238">
        <f>22489-568</f>
        <v>21921</v>
      </c>
      <c r="AF13" s="179">
        <v>24325</v>
      </c>
      <c r="AG13" s="413">
        <v>24057</v>
      </c>
      <c r="AH13" s="179">
        <v>26506</v>
      </c>
      <c r="AI13" s="413">
        <v>24728</v>
      </c>
      <c r="AJ13" s="179">
        <v>28569</v>
      </c>
      <c r="AK13" s="413">
        <v>27540</v>
      </c>
      <c r="AL13" s="413">
        <v>32711</v>
      </c>
      <c r="AM13" s="179">
        <v>34261</v>
      </c>
      <c r="AN13" s="179">
        <v>36495</v>
      </c>
      <c r="AO13" s="179">
        <v>40637</v>
      </c>
      <c r="AP13" s="50">
        <f t="shared" si="2"/>
        <v>111.3</v>
      </c>
      <c r="AQ13" s="51"/>
      <c r="AR13" s="2"/>
      <c r="AS13" s="511">
        <v>32711</v>
      </c>
      <c r="AT13" s="511">
        <f t="shared" si="3"/>
        <v>3784</v>
      </c>
    </row>
    <row r="14" spans="2:46" ht="15.6" x14ac:dyDescent="0.25">
      <c r="B14" s="1">
        <v>1</v>
      </c>
      <c r="C14" s="37">
        <v>4</v>
      </c>
      <c r="D14" s="43" t="s">
        <v>108</v>
      </c>
      <c r="E14" s="302">
        <v>31855</v>
      </c>
      <c r="F14" s="303">
        <v>31943</v>
      </c>
      <c r="G14" s="302"/>
      <c r="H14" s="303">
        <v>33733</v>
      </c>
      <c r="I14" s="302"/>
      <c r="J14" s="459">
        <v>32275</v>
      </c>
      <c r="K14" s="459">
        <v>32786</v>
      </c>
      <c r="L14" s="459">
        <v>33046</v>
      </c>
      <c r="M14" s="459">
        <f>35520-500</f>
        <v>35020</v>
      </c>
      <c r="N14" s="459">
        <f>34429-600</f>
        <v>33829</v>
      </c>
      <c r="O14" s="459">
        <v>34123</v>
      </c>
      <c r="P14" s="48">
        <v>48617</v>
      </c>
      <c r="Q14" s="49">
        <f>50002+4437</f>
        <v>54439</v>
      </c>
      <c r="R14" s="48">
        <v>41970</v>
      </c>
      <c r="S14" s="49">
        <v>45702</v>
      </c>
      <c r="T14" s="48">
        <v>41168</v>
      </c>
      <c r="U14" s="238">
        <f>43754+2746-2100</f>
        <v>44400</v>
      </c>
      <c r="V14" s="179">
        <v>40880</v>
      </c>
      <c r="W14" s="238">
        <f>40933+1700-483-577-3</f>
        <v>41570</v>
      </c>
      <c r="X14" s="179">
        <v>36094</v>
      </c>
      <c r="Y14" s="238">
        <f>34753+3500</f>
        <v>38253</v>
      </c>
      <c r="Z14" s="179">
        <v>35554</v>
      </c>
      <c r="AA14" s="238">
        <f>31990+5920</f>
        <v>37910</v>
      </c>
      <c r="AB14" s="179">
        <v>37891</v>
      </c>
      <c r="AC14" s="238">
        <f>31263+347+5300</f>
        <v>36910</v>
      </c>
      <c r="AD14" s="388">
        <v>38070</v>
      </c>
      <c r="AE14" s="238">
        <f>32137+7573</f>
        <v>39710</v>
      </c>
      <c r="AF14" s="179">
        <v>38253</v>
      </c>
      <c r="AG14" s="413">
        <f>31040+9360-150</f>
        <v>40250</v>
      </c>
      <c r="AH14" s="179">
        <v>38427</v>
      </c>
      <c r="AI14" s="413">
        <f>30569+9571</f>
        <v>40140</v>
      </c>
      <c r="AJ14" s="179">
        <v>37885</v>
      </c>
      <c r="AK14" s="413">
        <f>30943+9857</f>
        <v>40800</v>
      </c>
      <c r="AL14" s="413">
        <f>44750</f>
        <v>44750</v>
      </c>
      <c r="AM14" s="179">
        <v>40142</v>
      </c>
      <c r="AN14" s="179">
        <f>33929+1+9302-327</f>
        <v>42905</v>
      </c>
      <c r="AO14" s="179">
        <f>39979+9427</f>
        <v>49406</v>
      </c>
      <c r="AP14" s="50">
        <f t="shared" si="2"/>
        <v>115.2</v>
      </c>
      <c r="AQ14" s="51"/>
      <c r="AR14" s="2"/>
      <c r="AS14" s="511">
        <v>44750</v>
      </c>
      <c r="AT14" s="511">
        <f t="shared" si="3"/>
        <v>-1845</v>
      </c>
    </row>
    <row r="15" spans="2:46" ht="15.6" x14ac:dyDescent="0.25">
      <c r="B15" s="1">
        <v>1</v>
      </c>
      <c r="C15" s="37">
        <v>5</v>
      </c>
      <c r="D15" s="43" t="s">
        <v>109</v>
      </c>
      <c r="E15" s="302">
        <v>4380</v>
      </c>
      <c r="F15" s="303">
        <f>4891-1</f>
        <v>4890</v>
      </c>
      <c r="G15" s="302"/>
      <c r="H15" s="303">
        <f>3806+1612+75</f>
        <v>5493</v>
      </c>
      <c r="I15" s="304"/>
      <c r="J15" s="459">
        <v>5573</v>
      </c>
      <c r="K15" s="459">
        <v>12860</v>
      </c>
      <c r="L15" s="459">
        <v>6713</v>
      </c>
      <c r="M15" s="459">
        <f>37700-29871</f>
        <v>7829</v>
      </c>
      <c r="N15" s="459">
        <v>7530</v>
      </c>
      <c r="O15" s="459">
        <v>7159</v>
      </c>
      <c r="P15" s="48">
        <v>6048</v>
      </c>
      <c r="Q15" s="49">
        <v>5909</v>
      </c>
      <c r="R15" s="48">
        <v>7258</v>
      </c>
      <c r="S15" s="49">
        <f>6652</f>
        <v>6652</v>
      </c>
      <c r="T15" s="48">
        <v>7107</v>
      </c>
      <c r="U15" s="238">
        <f>6948+19</f>
        <v>6967</v>
      </c>
      <c r="V15" s="179">
        <v>7502</v>
      </c>
      <c r="W15" s="238">
        <v>7942</v>
      </c>
      <c r="X15" s="179">
        <v>7855</v>
      </c>
      <c r="Y15" s="238">
        <v>8007</v>
      </c>
      <c r="Z15" s="179">
        <v>7542</v>
      </c>
      <c r="AA15" s="238">
        <f>8442+4-150</f>
        <v>8296</v>
      </c>
      <c r="AB15" s="179">
        <v>7505</v>
      </c>
      <c r="AC15" s="238">
        <f>9035-300</f>
        <v>8735</v>
      </c>
      <c r="AD15" s="388">
        <v>7445</v>
      </c>
      <c r="AE15" s="238">
        <f>9084+4</f>
        <v>9088</v>
      </c>
      <c r="AF15" s="179">
        <v>7324</v>
      </c>
      <c r="AG15" s="413">
        <f>8133+4</f>
        <v>8137</v>
      </c>
      <c r="AH15" s="179">
        <v>7319</v>
      </c>
      <c r="AI15" s="413">
        <f>7710+4</f>
        <v>7714</v>
      </c>
      <c r="AJ15" s="179">
        <v>7422</v>
      </c>
      <c r="AK15" s="413">
        <f>7549+4-10</f>
        <v>7543</v>
      </c>
      <c r="AL15" s="413">
        <f>7700+4</f>
        <v>7704</v>
      </c>
      <c r="AM15" s="179">
        <v>7682.4</v>
      </c>
      <c r="AN15" s="179">
        <f>7956+2</f>
        <v>7958</v>
      </c>
      <c r="AO15" s="179">
        <f>8366+2</f>
        <v>8368</v>
      </c>
      <c r="AP15" s="50">
        <f t="shared" si="2"/>
        <v>105.2</v>
      </c>
      <c r="AQ15" s="51"/>
      <c r="AR15" s="2"/>
      <c r="AS15" s="511">
        <v>7704</v>
      </c>
      <c r="AT15" s="511">
        <f t="shared" si="3"/>
        <v>254</v>
      </c>
    </row>
    <row r="16" spans="2:46" x14ac:dyDescent="0.25">
      <c r="B16" s="1">
        <v>1</v>
      </c>
      <c r="C16" s="37">
        <v>6</v>
      </c>
      <c r="D16" s="43" t="s">
        <v>99</v>
      </c>
      <c r="E16" s="302">
        <v>5680</v>
      </c>
      <c r="F16" s="303">
        <v>5229</v>
      </c>
      <c r="G16" s="302"/>
      <c r="H16" s="303">
        <v>6210</v>
      </c>
      <c r="I16" s="304"/>
      <c r="J16" s="459">
        <v>6949</v>
      </c>
      <c r="K16" s="459">
        <v>7030</v>
      </c>
      <c r="L16" s="459">
        <v>7047</v>
      </c>
      <c r="M16" s="459">
        <f>8500-1000</f>
        <v>7500</v>
      </c>
      <c r="N16" s="459">
        <v>7300</v>
      </c>
      <c r="O16" s="459">
        <v>7308</v>
      </c>
      <c r="P16" s="48">
        <v>7016</v>
      </c>
      <c r="Q16" s="49">
        <f>7300-73</f>
        <v>7227</v>
      </c>
      <c r="R16" s="48">
        <v>7115</v>
      </c>
      <c r="S16" s="49">
        <f>7200-200</f>
        <v>7000</v>
      </c>
      <c r="T16" s="48">
        <v>15078</v>
      </c>
      <c r="U16" s="238">
        <f>6000-1000</f>
        <v>5000</v>
      </c>
      <c r="V16" s="179">
        <v>13355</v>
      </c>
      <c r="W16" s="238">
        <f>17000-2700</f>
        <v>14300</v>
      </c>
      <c r="X16" s="179">
        <v>10349</v>
      </c>
      <c r="Y16" s="238">
        <v>14300</v>
      </c>
      <c r="Z16" s="179">
        <v>8760</v>
      </c>
      <c r="AA16" s="238">
        <v>12480</v>
      </c>
      <c r="AB16" s="179">
        <v>9675</v>
      </c>
      <c r="AC16" s="238">
        <f>11300-1500</f>
        <v>9800</v>
      </c>
      <c r="AD16" s="388">
        <v>9280</v>
      </c>
      <c r="AE16" s="238">
        <v>10700</v>
      </c>
      <c r="AF16" s="179">
        <v>8303</v>
      </c>
      <c r="AG16" s="413">
        <v>11000</v>
      </c>
      <c r="AH16" s="179">
        <v>8255</v>
      </c>
      <c r="AI16" s="413">
        <v>7500</v>
      </c>
      <c r="AJ16" s="179">
        <v>7854</v>
      </c>
      <c r="AK16" s="413">
        <f>8800-323</f>
        <v>8477</v>
      </c>
      <c r="AL16" s="413">
        <f>7300-300</f>
        <v>7000</v>
      </c>
      <c r="AM16" s="179">
        <v>7543</v>
      </c>
      <c r="AN16" s="179">
        <v>7300</v>
      </c>
      <c r="AO16" s="179">
        <v>7600</v>
      </c>
      <c r="AP16" s="50">
        <f t="shared" si="2"/>
        <v>104.1</v>
      </c>
      <c r="AQ16" s="51"/>
      <c r="AR16" s="2"/>
      <c r="AS16" s="511">
        <v>7000</v>
      </c>
      <c r="AT16" s="511">
        <f t="shared" si="3"/>
        <v>300</v>
      </c>
    </row>
    <row r="17" spans="2:46" x14ac:dyDescent="0.25">
      <c r="C17" s="37">
        <v>7</v>
      </c>
      <c r="D17" s="43" t="s">
        <v>50</v>
      </c>
      <c r="E17" s="302"/>
      <c r="F17" s="303">
        <v>169</v>
      </c>
      <c r="G17" s="302"/>
      <c r="H17" s="303">
        <v>186</v>
      </c>
      <c r="I17" s="302"/>
      <c r="J17" s="459">
        <v>194</v>
      </c>
      <c r="K17" s="459">
        <v>133</v>
      </c>
      <c r="L17" s="459">
        <v>147</v>
      </c>
      <c r="M17" s="459">
        <v>250</v>
      </c>
      <c r="N17" s="459">
        <v>300</v>
      </c>
      <c r="O17" s="459">
        <v>184</v>
      </c>
      <c r="P17" s="48">
        <v>196</v>
      </c>
      <c r="Q17" s="49">
        <v>300</v>
      </c>
      <c r="R17" s="48">
        <v>150</v>
      </c>
      <c r="S17" s="49">
        <v>200</v>
      </c>
      <c r="T17" s="48">
        <v>844</v>
      </c>
      <c r="U17" s="238">
        <v>220</v>
      </c>
      <c r="V17" s="179">
        <v>498</v>
      </c>
      <c r="W17" s="238">
        <v>516</v>
      </c>
      <c r="X17" s="179">
        <v>389</v>
      </c>
      <c r="Y17" s="238">
        <v>700</v>
      </c>
      <c r="Z17" s="179">
        <v>452</v>
      </c>
      <c r="AA17" s="238">
        <v>600</v>
      </c>
      <c r="AB17" s="179">
        <v>333</v>
      </c>
      <c r="AC17" s="238">
        <v>500</v>
      </c>
      <c r="AD17" s="388">
        <v>392</v>
      </c>
      <c r="AE17" s="238">
        <v>500</v>
      </c>
      <c r="AF17" s="179">
        <v>229</v>
      </c>
      <c r="AG17" s="413">
        <v>400</v>
      </c>
      <c r="AH17" s="179">
        <v>250</v>
      </c>
      <c r="AI17" s="413">
        <v>400</v>
      </c>
      <c r="AJ17" s="179">
        <v>167</v>
      </c>
      <c r="AK17" s="413">
        <v>400</v>
      </c>
      <c r="AL17" s="413">
        <v>400</v>
      </c>
      <c r="AM17" s="179">
        <v>257</v>
      </c>
      <c r="AN17" s="179">
        <v>400</v>
      </c>
      <c r="AO17" s="179">
        <v>300</v>
      </c>
      <c r="AP17" s="50">
        <f t="shared" si="2"/>
        <v>75</v>
      </c>
      <c r="AQ17" s="51"/>
      <c r="AR17" s="2"/>
      <c r="AS17" s="511">
        <v>400</v>
      </c>
      <c r="AT17" s="511">
        <f t="shared" si="3"/>
        <v>0</v>
      </c>
    </row>
    <row r="18" spans="2:46" ht="15.6" x14ac:dyDescent="0.25">
      <c r="C18" s="52" t="s">
        <v>61</v>
      </c>
      <c r="D18" s="43" t="s">
        <v>81</v>
      </c>
      <c r="E18" s="302"/>
      <c r="F18" s="303"/>
      <c r="G18" s="302"/>
      <c r="H18" s="303"/>
      <c r="I18" s="302"/>
      <c r="J18" s="459">
        <v>2731</v>
      </c>
      <c r="K18" s="459">
        <v>3193</v>
      </c>
      <c r="L18" s="459">
        <v>3128</v>
      </c>
      <c r="M18" s="459">
        <f>2651+660</f>
        <v>3311</v>
      </c>
      <c r="N18" s="459">
        <f>2400+811</f>
        <v>3211</v>
      </c>
      <c r="O18" s="459">
        <v>3621</v>
      </c>
      <c r="P18" s="48">
        <v>4198</v>
      </c>
      <c r="Q18" s="49">
        <f>1312+2070+60</f>
        <v>3442</v>
      </c>
      <c r="R18" s="48">
        <v>4119</v>
      </c>
      <c r="S18" s="49">
        <f>1820+1820</f>
        <v>3640</v>
      </c>
      <c r="T18" s="48">
        <v>3976</v>
      </c>
      <c r="U18" s="238">
        <f>2350+1795</f>
        <v>4145</v>
      </c>
      <c r="V18" s="179">
        <v>4279</v>
      </c>
      <c r="W18" s="238">
        <f>2500+1708</f>
        <v>4208</v>
      </c>
      <c r="X18" s="179">
        <v>4591</v>
      </c>
      <c r="Y18" s="238">
        <f>2600+1523</f>
        <v>4123</v>
      </c>
      <c r="Z18" s="179">
        <v>4465</v>
      </c>
      <c r="AA18" s="238">
        <f>3113+1558</f>
        <v>4671</v>
      </c>
      <c r="AB18" s="179">
        <v>4526</v>
      </c>
      <c r="AC18" s="238">
        <f>3212+1200+1+500</f>
        <v>4913</v>
      </c>
      <c r="AD18" s="388">
        <v>4763</v>
      </c>
      <c r="AE18" s="238">
        <v>4800</v>
      </c>
      <c r="AF18" s="179">
        <v>4962</v>
      </c>
      <c r="AG18" s="413">
        <v>4700</v>
      </c>
      <c r="AH18" s="179">
        <v>5508</v>
      </c>
      <c r="AI18" s="413">
        <f>4500+800+200</f>
        <v>5500</v>
      </c>
      <c r="AJ18" s="179">
        <v>6229</v>
      </c>
      <c r="AK18" s="413">
        <v>5600</v>
      </c>
      <c r="AL18" s="413">
        <f>5500+920</f>
        <v>6420</v>
      </c>
      <c r="AM18" s="179">
        <v>7249</v>
      </c>
      <c r="AN18" s="179">
        <f>7850+5</f>
        <v>7855</v>
      </c>
      <c r="AO18" s="179">
        <f>7505+501</f>
        <v>8006</v>
      </c>
      <c r="AP18" s="50">
        <f t="shared" si="2"/>
        <v>101.9</v>
      </c>
      <c r="AQ18" s="51"/>
      <c r="AR18" s="2"/>
      <c r="AS18" s="511">
        <v>6420</v>
      </c>
      <c r="AT18" s="511">
        <f t="shared" si="3"/>
        <v>1435</v>
      </c>
    </row>
    <row r="19" spans="2:46" x14ac:dyDescent="0.25">
      <c r="B19" s="1">
        <v>1</v>
      </c>
      <c r="C19" s="37">
        <v>8</v>
      </c>
      <c r="D19" s="43" t="s">
        <v>53</v>
      </c>
      <c r="E19" s="302">
        <v>11276</v>
      </c>
      <c r="F19" s="303">
        <v>12065</v>
      </c>
      <c r="G19" s="302"/>
      <c r="H19" s="303">
        <f>1692+11890-352</f>
        <v>13230</v>
      </c>
      <c r="I19" s="302"/>
      <c r="J19" s="459">
        <v>14148</v>
      </c>
      <c r="K19" s="459">
        <v>14317</v>
      </c>
      <c r="L19" s="459">
        <v>14196</v>
      </c>
      <c r="M19" s="459">
        <f>14317-1000</f>
        <v>13317</v>
      </c>
      <c r="N19" s="459">
        <v>16000</v>
      </c>
      <c r="O19" s="459">
        <v>14674</v>
      </c>
      <c r="P19" s="48"/>
      <c r="Q19" s="49"/>
      <c r="R19" s="48"/>
      <c r="S19" s="49"/>
      <c r="T19" s="48"/>
      <c r="U19" s="238"/>
      <c r="V19" s="179"/>
      <c r="W19" s="238"/>
      <c r="X19" s="179"/>
      <c r="Y19" s="238"/>
      <c r="Z19" s="179"/>
      <c r="AA19" s="238"/>
      <c r="AB19" s="179"/>
      <c r="AC19" s="238"/>
      <c r="AD19" s="388"/>
      <c r="AE19" s="238"/>
      <c r="AF19" s="179"/>
      <c r="AG19" s="413"/>
      <c r="AH19" s="179"/>
      <c r="AI19" s="413"/>
      <c r="AJ19" s="179"/>
      <c r="AK19" s="413"/>
      <c r="AL19" s="413"/>
      <c r="AM19" s="179"/>
      <c r="AN19" s="179"/>
      <c r="AO19" s="179"/>
      <c r="AP19" s="50" t="str">
        <f t="shared" si="2"/>
        <v xml:space="preserve"> </v>
      </c>
      <c r="AQ19" s="51"/>
      <c r="AR19" s="2"/>
      <c r="AS19" s="511"/>
      <c r="AT19" s="511">
        <f t="shared" si="3"/>
        <v>0</v>
      </c>
    </row>
    <row r="20" spans="2:46" ht="28.8" x14ac:dyDescent="0.25">
      <c r="C20" s="52" t="s">
        <v>73</v>
      </c>
      <c r="D20" s="43" t="s">
        <v>113</v>
      </c>
      <c r="E20" s="302"/>
      <c r="F20" s="303"/>
      <c r="G20" s="302"/>
      <c r="H20" s="303"/>
      <c r="I20" s="302"/>
      <c r="J20" s="459"/>
      <c r="K20" s="459"/>
      <c r="L20" s="459"/>
      <c r="M20" s="459"/>
      <c r="N20" s="459"/>
      <c r="O20" s="459"/>
      <c r="P20" s="48">
        <v>7482</v>
      </c>
      <c r="Q20" s="49">
        <f>16542-362</f>
        <v>16180</v>
      </c>
      <c r="R20" s="48">
        <v>5523</v>
      </c>
      <c r="S20" s="49">
        <v>12059</v>
      </c>
      <c r="T20" s="48">
        <f>5751</f>
        <v>5751</v>
      </c>
      <c r="U20" s="238">
        <v>7300</v>
      </c>
      <c r="V20" s="179">
        <v>5903</v>
      </c>
      <c r="W20" s="238">
        <f>6800-621</f>
        <v>6179</v>
      </c>
      <c r="X20" s="179">
        <v>7057</v>
      </c>
      <c r="Y20" s="238">
        <f>3+7110</f>
        <v>7113</v>
      </c>
      <c r="Z20" s="179">
        <v>9260</v>
      </c>
      <c r="AA20" s="238">
        <f>5560+1970+3</f>
        <v>7533</v>
      </c>
      <c r="AB20" s="179">
        <v>12510</v>
      </c>
      <c r="AC20" s="238">
        <f>12400+2326-4900</f>
        <v>9826</v>
      </c>
      <c r="AD20" s="388">
        <v>13296</v>
      </c>
      <c r="AE20" s="238">
        <f>11400+2719</f>
        <v>14119</v>
      </c>
      <c r="AF20" s="179">
        <v>12568</v>
      </c>
      <c r="AG20" s="413">
        <f>12215+2738-300</f>
        <v>14653</v>
      </c>
      <c r="AH20" s="179">
        <v>11392</v>
      </c>
      <c r="AI20" s="413">
        <f>12785+2200-1100</f>
        <v>13885</v>
      </c>
      <c r="AJ20" s="179">
        <v>9497</v>
      </c>
      <c r="AK20" s="413">
        <f>11319+2350-1241-420</f>
        <v>12008</v>
      </c>
      <c r="AL20" s="413">
        <f>9558+2900+1-957</f>
        <v>11502</v>
      </c>
      <c r="AM20" s="179">
        <v>8092</v>
      </c>
      <c r="AN20" s="179">
        <f>6629+3000</f>
        <v>9629</v>
      </c>
      <c r="AO20" s="179">
        <f>5551+3100</f>
        <v>8651</v>
      </c>
      <c r="AP20" s="50">
        <f t="shared" si="2"/>
        <v>89.8</v>
      </c>
      <c r="AQ20" s="51"/>
      <c r="AR20" s="2"/>
      <c r="AS20" s="511">
        <v>11502</v>
      </c>
      <c r="AT20" s="511">
        <f t="shared" si="3"/>
        <v>-1873</v>
      </c>
    </row>
    <row r="21" spans="2:46" ht="28.8" x14ac:dyDescent="0.25">
      <c r="C21" s="52" t="s">
        <v>74</v>
      </c>
      <c r="D21" s="43" t="s">
        <v>114</v>
      </c>
      <c r="E21" s="302"/>
      <c r="F21" s="303"/>
      <c r="G21" s="302"/>
      <c r="H21" s="303"/>
      <c r="I21" s="302"/>
      <c r="J21" s="459"/>
      <c r="K21" s="459"/>
      <c r="L21" s="459"/>
      <c r="M21" s="459"/>
      <c r="N21" s="459"/>
      <c r="O21" s="459"/>
      <c r="P21" s="48">
        <v>14961</v>
      </c>
      <c r="Q21" s="49">
        <v>8817</v>
      </c>
      <c r="R21" s="48">
        <v>18478</v>
      </c>
      <c r="S21" s="49">
        <f>12088</f>
        <v>12088</v>
      </c>
      <c r="T21" s="48">
        <v>18897</v>
      </c>
      <c r="U21" s="238">
        <v>15588</v>
      </c>
      <c r="V21" s="179">
        <v>19800</v>
      </c>
      <c r="W21" s="238">
        <v>18500</v>
      </c>
      <c r="X21" s="179">
        <v>18241</v>
      </c>
      <c r="Y21" s="238">
        <v>17767</v>
      </c>
      <c r="Z21" s="179">
        <v>18388</v>
      </c>
      <c r="AA21" s="238">
        <f>19990</f>
        <v>19990</v>
      </c>
      <c r="AB21" s="179">
        <v>19589</v>
      </c>
      <c r="AC21" s="238">
        <v>20490</v>
      </c>
      <c r="AD21" s="388">
        <v>20442</v>
      </c>
      <c r="AE21" s="238">
        <v>20690</v>
      </c>
      <c r="AF21" s="179">
        <v>21213</v>
      </c>
      <c r="AG21" s="413">
        <v>21000</v>
      </c>
      <c r="AH21" s="179">
        <v>23105</v>
      </c>
      <c r="AI21" s="413">
        <f>21300+520</f>
        <v>21820</v>
      </c>
      <c r="AJ21" s="179">
        <v>25174</v>
      </c>
      <c r="AK21" s="413">
        <v>23800</v>
      </c>
      <c r="AL21" s="413">
        <v>26000</v>
      </c>
      <c r="AM21" s="179">
        <v>26068</v>
      </c>
      <c r="AN21" s="179">
        <v>26600</v>
      </c>
      <c r="AO21" s="179">
        <v>31300</v>
      </c>
      <c r="AP21" s="50">
        <f t="shared" si="2"/>
        <v>117.7</v>
      </c>
      <c r="AQ21" s="51"/>
      <c r="AR21" s="2"/>
      <c r="AS21" s="511">
        <v>26000</v>
      </c>
      <c r="AT21" s="511">
        <f t="shared" si="3"/>
        <v>600</v>
      </c>
    </row>
    <row r="22" spans="2:46" ht="6" customHeight="1" x14ac:dyDescent="0.25">
      <c r="C22" s="37"/>
      <c r="D22" s="43"/>
      <c r="E22" s="302"/>
      <c r="F22" s="303"/>
      <c r="G22" s="302"/>
      <c r="H22" s="303"/>
      <c r="I22" s="302"/>
      <c r="J22" s="459"/>
      <c r="K22" s="459"/>
      <c r="L22" s="459"/>
      <c r="M22" s="459"/>
      <c r="N22" s="459"/>
      <c r="O22" s="459"/>
      <c r="P22" s="48"/>
      <c r="Q22" s="49"/>
      <c r="R22" s="48"/>
      <c r="S22" s="49"/>
      <c r="T22" s="48"/>
      <c r="U22" s="238"/>
      <c r="V22" s="179"/>
      <c r="W22" s="238"/>
      <c r="X22" s="179"/>
      <c r="Y22" s="238"/>
      <c r="Z22" s="179"/>
      <c r="AA22" s="238"/>
      <c r="AB22" s="179"/>
      <c r="AC22" s="238"/>
      <c r="AD22" s="388"/>
      <c r="AE22" s="238"/>
      <c r="AF22" s="179"/>
      <c r="AG22" s="413"/>
      <c r="AH22" s="179"/>
      <c r="AI22" s="413"/>
      <c r="AJ22" s="179"/>
      <c r="AK22" s="413"/>
      <c r="AL22" s="413"/>
      <c r="AM22" s="179"/>
      <c r="AN22" s="179"/>
      <c r="AO22" s="179"/>
      <c r="AP22" s="50" t="str">
        <f t="shared" si="2"/>
        <v xml:space="preserve"> </v>
      </c>
      <c r="AQ22" s="51"/>
      <c r="AR22" s="2"/>
      <c r="AS22" s="511"/>
      <c r="AT22" s="511">
        <f t="shared" si="3"/>
        <v>0</v>
      </c>
    </row>
    <row r="23" spans="2:46" x14ac:dyDescent="0.25">
      <c r="B23" s="1">
        <v>1</v>
      </c>
      <c r="C23" s="37">
        <v>9</v>
      </c>
      <c r="D23" s="43" t="s">
        <v>9</v>
      </c>
      <c r="E23" s="302">
        <v>2412</v>
      </c>
      <c r="F23" s="303">
        <v>2617</v>
      </c>
      <c r="G23" s="302"/>
      <c r="H23" s="303">
        <v>2745</v>
      </c>
      <c r="I23" s="302"/>
      <c r="J23" s="459">
        <v>2882</v>
      </c>
      <c r="K23" s="459">
        <v>3124</v>
      </c>
      <c r="L23" s="459">
        <v>3573</v>
      </c>
      <c r="M23" s="459">
        <v>3250</v>
      </c>
      <c r="N23" s="459">
        <f>4100-125</f>
        <v>3975</v>
      </c>
      <c r="O23" s="459">
        <v>4038</v>
      </c>
      <c r="P23" s="48">
        <v>4527</v>
      </c>
      <c r="Q23" s="49">
        <v>4500</v>
      </c>
      <c r="R23" s="48">
        <v>4992</v>
      </c>
      <c r="S23" s="49">
        <v>5100</v>
      </c>
      <c r="T23" s="48">
        <v>5296</v>
      </c>
      <c r="U23" s="238">
        <v>6400</v>
      </c>
      <c r="V23" s="179">
        <v>5474</v>
      </c>
      <c r="W23" s="238">
        <v>6500</v>
      </c>
      <c r="X23" s="179">
        <v>5588</v>
      </c>
      <c r="Y23" s="238">
        <v>6100</v>
      </c>
      <c r="Z23" s="179">
        <v>5745</v>
      </c>
      <c r="AA23" s="238">
        <v>6200</v>
      </c>
      <c r="AB23" s="179">
        <v>6690</v>
      </c>
      <c r="AC23" s="238">
        <f>6500-100</f>
        <v>6400</v>
      </c>
      <c r="AD23" s="388">
        <v>6889</v>
      </c>
      <c r="AE23" s="238">
        <v>8000</v>
      </c>
      <c r="AF23" s="179">
        <v>6817</v>
      </c>
      <c r="AG23" s="413">
        <v>7800</v>
      </c>
      <c r="AH23" s="179">
        <v>6807</v>
      </c>
      <c r="AI23" s="413">
        <v>7200</v>
      </c>
      <c r="AJ23" s="179">
        <v>6878</v>
      </c>
      <c r="AK23" s="413">
        <v>7300</v>
      </c>
      <c r="AL23" s="413">
        <f>7000-50</f>
        <v>6950</v>
      </c>
      <c r="AM23" s="222">
        <v>6995</v>
      </c>
      <c r="AN23" s="179">
        <v>7100</v>
      </c>
      <c r="AO23" s="179">
        <v>7400</v>
      </c>
      <c r="AP23" s="50">
        <f t="shared" si="2"/>
        <v>104.2</v>
      </c>
      <c r="AQ23" s="51"/>
      <c r="AR23" s="2"/>
      <c r="AS23" s="511">
        <v>7000</v>
      </c>
      <c r="AT23" s="511">
        <f t="shared" si="3"/>
        <v>100</v>
      </c>
    </row>
    <row r="24" spans="2:46" x14ac:dyDescent="0.25">
      <c r="B24" s="1">
        <v>1</v>
      </c>
      <c r="C24" s="37">
        <v>10</v>
      </c>
      <c r="D24" s="43" t="s">
        <v>10</v>
      </c>
      <c r="E24" s="302">
        <v>27464</v>
      </c>
      <c r="F24" s="303">
        <v>29026</v>
      </c>
      <c r="G24" s="302"/>
      <c r="H24" s="303">
        <v>30561</v>
      </c>
      <c r="I24" s="302"/>
      <c r="J24" s="459">
        <v>32493</v>
      </c>
      <c r="K24" s="459">
        <v>33377</v>
      </c>
      <c r="L24" s="459">
        <v>33732</v>
      </c>
      <c r="M24" s="459">
        <v>33969</v>
      </c>
      <c r="N24" s="459">
        <v>36264</v>
      </c>
      <c r="O24" s="459">
        <v>42998</v>
      </c>
      <c r="P24" s="48">
        <v>47459</v>
      </c>
      <c r="Q24" s="49">
        <f>48144-950</f>
        <v>47194</v>
      </c>
      <c r="R24" s="48">
        <v>47253</v>
      </c>
      <c r="S24" s="49">
        <f>47728+1</f>
        <v>47729</v>
      </c>
      <c r="T24" s="48">
        <v>48673</v>
      </c>
      <c r="U24" s="238">
        <v>47404</v>
      </c>
      <c r="V24" s="179">
        <v>52700</v>
      </c>
      <c r="W24" s="238">
        <f>56639-4540</f>
        <v>52099</v>
      </c>
      <c r="X24" s="179">
        <v>52717</v>
      </c>
      <c r="Y24" s="238">
        <v>52997</v>
      </c>
      <c r="Z24" s="179">
        <v>52867</v>
      </c>
      <c r="AA24" s="238">
        <v>52924</v>
      </c>
      <c r="AB24" s="179">
        <v>53676</v>
      </c>
      <c r="AC24" s="238">
        <v>53184</v>
      </c>
      <c r="AD24" s="388">
        <v>59867</v>
      </c>
      <c r="AE24" s="238">
        <v>57919</v>
      </c>
      <c r="AF24" s="179">
        <v>60944</v>
      </c>
      <c r="AG24" s="413">
        <v>62181</v>
      </c>
      <c r="AH24" s="179">
        <v>62254</v>
      </c>
      <c r="AI24" s="413">
        <v>63058</v>
      </c>
      <c r="AJ24" s="179">
        <v>65254</v>
      </c>
      <c r="AK24" s="413">
        <v>66354</v>
      </c>
      <c r="AL24" s="413">
        <v>69791</v>
      </c>
      <c r="AM24" s="222">
        <v>68359</v>
      </c>
      <c r="AN24" s="179">
        <v>73320</v>
      </c>
      <c r="AO24" s="179">
        <v>76850</v>
      </c>
      <c r="AP24" s="50">
        <f t="shared" si="2"/>
        <v>104.8</v>
      </c>
      <c r="AQ24" s="51"/>
      <c r="AR24" s="2"/>
      <c r="AS24" s="511">
        <v>69791</v>
      </c>
      <c r="AT24" s="511">
        <f t="shared" si="3"/>
        <v>3529</v>
      </c>
    </row>
    <row r="25" spans="2:46" x14ac:dyDescent="0.25">
      <c r="B25" s="1">
        <v>1</v>
      </c>
      <c r="C25" s="37">
        <v>11</v>
      </c>
      <c r="D25" s="53" t="s">
        <v>11</v>
      </c>
      <c r="E25" s="302">
        <v>17378</v>
      </c>
      <c r="F25" s="303">
        <v>16989</v>
      </c>
      <c r="G25" s="302"/>
      <c r="H25" s="303">
        <f>18945-46-270</f>
        <v>18629</v>
      </c>
      <c r="I25" s="302"/>
      <c r="J25" s="459">
        <v>21328</v>
      </c>
      <c r="K25" s="459">
        <v>26765</v>
      </c>
      <c r="L25" s="459">
        <v>25335</v>
      </c>
      <c r="M25" s="459">
        <f>34262+200-1082</f>
        <v>33380</v>
      </c>
      <c r="N25" s="459">
        <f>36885-3002</f>
        <v>33883</v>
      </c>
      <c r="O25" s="459">
        <v>31515</v>
      </c>
      <c r="P25" s="48">
        <v>33981</v>
      </c>
      <c r="Q25" s="49">
        <f>40712-300-2610</f>
        <v>37802</v>
      </c>
      <c r="R25" s="48">
        <v>44601</v>
      </c>
      <c r="S25" s="49">
        <f>46638-1497</f>
        <v>45141</v>
      </c>
      <c r="T25" s="48">
        <v>52723</v>
      </c>
      <c r="U25" s="238">
        <f>49286-1350</f>
        <v>47936</v>
      </c>
      <c r="V25" s="543">
        <v>48741</v>
      </c>
      <c r="W25" s="238">
        <f>66071+1000-3000-1090</f>
        <v>62981</v>
      </c>
      <c r="X25" s="543">
        <v>55633</v>
      </c>
      <c r="Y25" s="545">
        <f>72386+1000-1100+704</f>
        <v>72990</v>
      </c>
      <c r="Z25" s="543">
        <v>57089</v>
      </c>
      <c r="AA25" s="545">
        <v>79406</v>
      </c>
      <c r="AB25" s="543">
        <v>57843</v>
      </c>
      <c r="AC25" s="545">
        <f>78342-7583-158-1-2000-750-3500</f>
        <v>64350</v>
      </c>
      <c r="AD25" s="539">
        <v>55895</v>
      </c>
      <c r="AE25" s="545">
        <f>66000-202</f>
        <v>65798</v>
      </c>
      <c r="AF25" s="539">
        <v>53194</v>
      </c>
      <c r="AG25" s="537">
        <f>65803-1337</f>
        <v>64466</v>
      </c>
      <c r="AH25" s="539">
        <v>40654</v>
      </c>
      <c r="AI25" s="537">
        <f>54000-1234-450</f>
        <v>52316</v>
      </c>
      <c r="AJ25" s="539">
        <v>40151</v>
      </c>
      <c r="AK25" s="537">
        <v>46343</v>
      </c>
      <c r="AL25" s="537">
        <f>46193-300-650</f>
        <v>45243</v>
      </c>
      <c r="AM25" s="541">
        <v>40729</v>
      </c>
      <c r="AN25" s="539">
        <v>46499</v>
      </c>
      <c r="AO25" s="539">
        <v>43811</v>
      </c>
      <c r="AP25" s="547">
        <f t="shared" si="2"/>
        <v>94.2</v>
      </c>
      <c r="AQ25" s="51"/>
      <c r="AR25" s="2"/>
      <c r="AS25" s="511">
        <v>45893</v>
      </c>
      <c r="AT25" s="511">
        <f t="shared" si="3"/>
        <v>606</v>
      </c>
    </row>
    <row r="26" spans="2:46" x14ac:dyDescent="0.25">
      <c r="B26" s="1">
        <v>1</v>
      </c>
      <c r="C26" s="37">
        <v>12</v>
      </c>
      <c r="D26" s="43" t="s">
        <v>94</v>
      </c>
      <c r="E26" s="305">
        <v>122</v>
      </c>
      <c r="F26" s="306">
        <v>40</v>
      </c>
      <c r="G26" s="305"/>
      <c r="H26" s="306">
        <v>46</v>
      </c>
      <c r="I26" s="305"/>
      <c r="J26" s="460">
        <v>90</v>
      </c>
      <c r="K26" s="459">
        <v>69</v>
      </c>
      <c r="L26" s="459">
        <v>96</v>
      </c>
      <c r="M26" s="459">
        <v>300</v>
      </c>
      <c r="N26" s="459">
        <v>300</v>
      </c>
      <c r="O26" s="459">
        <v>94</v>
      </c>
      <c r="P26" s="48">
        <v>145</v>
      </c>
      <c r="Q26" s="49">
        <v>300</v>
      </c>
      <c r="R26" s="48">
        <v>151</v>
      </c>
      <c r="S26" s="49">
        <f>300+19</f>
        <v>319</v>
      </c>
      <c r="T26" s="48">
        <v>350</v>
      </c>
      <c r="U26" s="238">
        <v>310</v>
      </c>
      <c r="V26" s="544"/>
      <c r="W26" s="238">
        <f>700+4</f>
        <v>704</v>
      </c>
      <c r="X26" s="544"/>
      <c r="Y26" s="546"/>
      <c r="Z26" s="544"/>
      <c r="AA26" s="546"/>
      <c r="AB26" s="544"/>
      <c r="AC26" s="546"/>
      <c r="AD26" s="540"/>
      <c r="AE26" s="546"/>
      <c r="AF26" s="540"/>
      <c r="AG26" s="538"/>
      <c r="AH26" s="540"/>
      <c r="AI26" s="538"/>
      <c r="AJ26" s="540"/>
      <c r="AK26" s="538"/>
      <c r="AL26" s="538"/>
      <c r="AM26" s="542"/>
      <c r="AN26" s="540"/>
      <c r="AO26" s="540"/>
      <c r="AP26" s="548" t="str">
        <f t="shared" si="2"/>
        <v xml:space="preserve"> </v>
      </c>
      <c r="AQ26" s="51"/>
      <c r="AR26" s="2"/>
      <c r="AS26" s="511"/>
      <c r="AT26" s="511">
        <f t="shared" si="3"/>
        <v>0</v>
      </c>
    </row>
    <row r="27" spans="2:46" x14ac:dyDescent="0.25">
      <c r="B27" s="1">
        <v>1</v>
      </c>
      <c r="C27" s="37">
        <v>13</v>
      </c>
      <c r="D27" s="43" t="s">
        <v>64</v>
      </c>
      <c r="E27" s="302">
        <v>1414</v>
      </c>
      <c r="F27" s="303">
        <v>1630</v>
      </c>
      <c r="G27" s="302"/>
      <c r="H27" s="303">
        <v>1144</v>
      </c>
      <c r="I27" s="302"/>
      <c r="J27" s="459">
        <v>737</v>
      </c>
      <c r="K27" s="459">
        <v>630</v>
      </c>
      <c r="L27" s="459">
        <v>610</v>
      </c>
      <c r="M27" s="459">
        <v>594</v>
      </c>
      <c r="N27" s="459">
        <v>538</v>
      </c>
      <c r="O27" s="459">
        <v>397</v>
      </c>
      <c r="P27" s="48">
        <v>285</v>
      </c>
      <c r="Q27" s="49">
        <v>340</v>
      </c>
      <c r="R27" s="48">
        <v>374</v>
      </c>
      <c r="S27" s="49">
        <v>298</v>
      </c>
      <c r="T27" s="48">
        <v>279</v>
      </c>
      <c r="U27" s="238">
        <v>293</v>
      </c>
      <c r="V27" s="179">
        <v>231</v>
      </c>
      <c r="W27" s="238">
        <v>240</v>
      </c>
      <c r="X27" s="179">
        <v>200</v>
      </c>
      <c r="Y27" s="238">
        <v>200</v>
      </c>
      <c r="Z27" s="179">
        <v>174</v>
      </c>
      <c r="AA27" s="238">
        <v>180</v>
      </c>
      <c r="AB27" s="179">
        <v>142</v>
      </c>
      <c r="AC27" s="238">
        <v>149</v>
      </c>
      <c r="AD27" s="388">
        <v>123</v>
      </c>
      <c r="AE27" s="238">
        <v>124</v>
      </c>
      <c r="AF27" s="179">
        <v>108</v>
      </c>
      <c r="AG27" s="413">
        <v>111</v>
      </c>
      <c r="AH27" s="179">
        <v>0</v>
      </c>
      <c r="AI27" s="413">
        <v>0</v>
      </c>
      <c r="AJ27" s="179">
        <v>20</v>
      </c>
      <c r="AK27" s="413">
        <v>20</v>
      </c>
      <c r="AL27" s="413">
        <v>16</v>
      </c>
      <c r="AM27" s="222">
        <v>17</v>
      </c>
      <c r="AN27" s="179">
        <v>18</v>
      </c>
      <c r="AO27" s="179">
        <v>19</v>
      </c>
      <c r="AP27" s="50">
        <f t="shared" si="2"/>
        <v>105.6</v>
      </c>
      <c r="AQ27" s="51"/>
      <c r="AR27" s="2"/>
      <c r="AS27" s="511">
        <v>16</v>
      </c>
      <c r="AT27" s="511">
        <f t="shared" si="3"/>
        <v>2</v>
      </c>
    </row>
    <row r="28" spans="2:46" x14ac:dyDescent="0.25">
      <c r="B28" s="1">
        <v>1</v>
      </c>
      <c r="C28" s="37">
        <v>14</v>
      </c>
      <c r="D28" s="43" t="s">
        <v>12</v>
      </c>
      <c r="E28" s="302">
        <v>7719</v>
      </c>
      <c r="F28" s="303">
        <v>9313</v>
      </c>
      <c r="G28" s="302"/>
      <c r="H28" s="303">
        <v>11059</v>
      </c>
      <c r="I28" s="302"/>
      <c r="J28" s="459">
        <v>13261</v>
      </c>
      <c r="K28" s="459">
        <v>15337</v>
      </c>
      <c r="L28" s="459">
        <v>16086</v>
      </c>
      <c r="M28" s="459">
        <v>14800</v>
      </c>
      <c r="N28" s="459">
        <f>15800-400</f>
        <v>15400</v>
      </c>
      <c r="O28" s="459">
        <v>15772</v>
      </c>
      <c r="P28" s="48">
        <v>14976</v>
      </c>
      <c r="Q28" s="49">
        <f>15900-300-1900</f>
        <v>13700</v>
      </c>
      <c r="R28" s="48">
        <v>14220</v>
      </c>
      <c r="S28" s="49">
        <v>15000</v>
      </c>
      <c r="T28" s="48">
        <v>13262</v>
      </c>
      <c r="U28" s="238">
        <v>14600</v>
      </c>
      <c r="V28" s="179">
        <v>11743</v>
      </c>
      <c r="W28" s="238">
        <f>13500-100</f>
        <v>13400</v>
      </c>
      <c r="X28" s="179">
        <v>10729</v>
      </c>
      <c r="Y28" s="238">
        <v>13100</v>
      </c>
      <c r="Z28" s="179">
        <v>5290</v>
      </c>
      <c r="AA28" s="238">
        <v>6000</v>
      </c>
      <c r="AB28" s="179">
        <v>4953</v>
      </c>
      <c r="AC28" s="238">
        <f>5800-100</f>
        <v>5700</v>
      </c>
      <c r="AD28" s="388">
        <v>4761</v>
      </c>
      <c r="AE28" s="238">
        <v>5300</v>
      </c>
      <c r="AF28" s="179">
        <v>4562</v>
      </c>
      <c r="AG28" s="413">
        <v>5200</v>
      </c>
      <c r="AH28" s="179">
        <v>4280</v>
      </c>
      <c r="AI28" s="413">
        <v>4900</v>
      </c>
      <c r="AJ28" s="179">
        <v>3947</v>
      </c>
      <c r="AK28" s="413">
        <v>4600</v>
      </c>
      <c r="AL28" s="413">
        <f>4400-200-50</f>
        <v>4150</v>
      </c>
      <c r="AM28" s="222">
        <v>3916</v>
      </c>
      <c r="AN28" s="179">
        <v>4000</v>
      </c>
      <c r="AO28" s="179">
        <v>4100</v>
      </c>
      <c r="AP28" s="50">
        <f t="shared" si="2"/>
        <v>102.5</v>
      </c>
      <c r="AQ28" s="51"/>
      <c r="AR28" s="2"/>
      <c r="AS28" s="511">
        <v>4200</v>
      </c>
      <c r="AT28" s="511">
        <f t="shared" si="3"/>
        <v>-200</v>
      </c>
    </row>
    <row r="29" spans="2:46" x14ac:dyDescent="0.25">
      <c r="B29" s="1">
        <v>1</v>
      </c>
      <c r="C29" s="37">
        <v>15</v>
      </c>
      <c r="D29" s="43" t="s">
        <v>13</v>
      </c>
      <c r="E29" s="302">
        <v>731</v>
      </c>
      <c r="F29" s="303">
        <v>524</v>
      </c>
      <c r="G29" s="302"/>
      <c r="H29" s="303">
        <f>485+1166+164+15+441</f>
        <v>2271</v>
      </c>
      <c r="I29" s="302"/>
      <c r="J29" s="459">
        <v>496</v>
      </c>
      <c r="K29" s="459">
        <v>1652</v>
      </c>
      <c r="L29" s="459">
        <f>200*0+474+9</f>
        <v>483</v>
      </c>
      <c r="M29" s="459">
        <f>497+100+11</f>
        <v>608</v>
      </c>
      <c r="N29" s="459">
        <f>527+500+1540+140+30-250</f>
        <v>2487</v>
      </c>
      <c r="O29" s="459">
        <v>2026</v>
      </c>
      <c r="P29" s="48">
        <v>522</v>
      </c>
      <c r="Q29" s="49">
        <f>540+101+7</f>
        <v>648</v>
      </c>
      <c r="R29" s="48">
        <v>1058</v>
      </c>
      <c r="S29" s="49">
        <f>500+586</f>
        <v>1086</v>
      </c>
      <c r="T29" s="48">
        <v>1214</v>
      </c>
      <c r="U29" s="238">
        <f>492+150+628-75</f>
        <v>1195</v>
      </c>
      <c r="V29" s="179">
        <v>2112</v>
      </c>
      <c r="W29" s="238">
        <f>530+664</f>
        <v>1194</v>
      </c>
      <c r="X29" s="179">
        <v>515</v>
      </c>
      <c r="Y29" s="238">
        <f>496+117</f>
        <v>613</v>
      </c>
      <c r="Z29" s="179">
        <v>1121</v>
      </c>
      <c r="AA29" s="238">
        <f>501+651</f>
        <v>1152</v>
      </c>
      <c r="AB29" s="179">
        <v>1941</v>
      </c>
      <c r="AC29" s="238">
        <f>496+711</f>
        <v>1207</v>
      </c>
      <c r="AD29" s="388">
        <v>1551</v>
      </c>
      <c r="AE29" s="238">
        <f>506+195+1166</f>
        <v>1867</v>
      </c>
      <c r="AF29" s="179">
        <v>496</v>
      </c>
      <c r="AG29" s="413">
        <f>497+116</f>
        <v>613</v>
      </c>
      <c r="AH29" s="179">
        <v>1039</v>
      </c>
      <c r="AI29" s="413">
        <f>512+600</f>
        <v>1112</v>
      </c>
      <c r="AJ29" s="179">
        <v>1562</v>
      </c>
      <c r="AK29" s="413">
        <f>674+546+691</f>
        <v>1911</v>
      </c>
      <c r="AL29" s="413">
        <f>569+1029</f>
        <v>1598</v>
      </c>
      <c r="AM29" s="222">
        <f>560+922+249</f>
        <v>1731</v>
      </c>
      <c r="AN29" s="179">
        <f>583+126+691</f>
        <v>1400</v>
      </c>
      <c r="AO29" s="179">
        <f>590+807</f>
        <v>1397</v>
      </c>
      <c r="AP29" s="50">
        <f t="shared" si="2"/>
        <v>99.8</v>
      </c>
      <c r="AQ29" s="51"/>
      <c r="AR29" s="2"/>
      <c r="AS29" s="511">
        <v>1598</v>
      </c>
      <c r="AT29" s="511">
        <f t="shared" si="3"/>
        <v>-198</v>
      </c>
    </row>
    <row r="30" spans="2:46" x14ac:dyDescent="0.25">
      <c r="B30" s="1">
        <v>1</v>
      </c>
      <c r="C30" s="37">
        <v>16</v>
      </c>
      <c r="D30" s="43" t="s">
        <v>14</v>
      </c>
      <c r="E30" s="305">
        <v>752</v>
      </c>
      <c r="F30" s="306">
        <f>625</f>
        <v>625</v>
      </c>
      <c r="G30" s="305"/>
      <c r="H30" s="306">
        <f>19+481</f>
        <v>500</v>
      </c>
      <c r="I30" s="305"/>
      <c r="J30" s="460">
        <v>612</v>
      </c>
      <c r="K30" s="460">
        <v>700</v>
      </c>
      <c r="L30" s="460">
        <v>455</v>
      </c>
      <c r="M30" s="460">
        <v>0</v>
      </c>
      <c r="N30" s="460">
        <v>50</v>
      </c>
      <c r="O30" s="460">
        <v>550</v>
      </c>
      <c r="P30" s="54">
        <v>700</v>
      </c>
      <c r="Q30" s="55">
        <v>700</v>
      </c>
      <c r="R30" s="54">
        <v>800</v>
      </c>
      <c r="S30" s="55">
        <v>800</v>
      </c>
      <c r="T30" s="54">
        <v>630</v>
      </c>
      <c r="U30" s="217">
        <v>700</v>
      </c>
      <c r="V30" s="163">
        <v>700</v>
      </c>
      <c r="W30" s="217">
        <v>700</v>
      </c>
      <c r="X30" s="163">
        <v>700</v>
      </c>
      <c r="Y30" s="217">
        <v>700</v>
      </c>
      <c r="Z30" s="163">
        <v>700</v>
      </c>
      <c r="AA30" s="217">
        <v>700</v>
      </c>
      <c r="AB30" s="163">
        <v>700</v>
      </c>
      <c r="AC30" s="217">
        <v>700</v>
      </c>
      <c r="AD30" s="389">
        <v>680</v>
      </c>
      <c r="AE30" s="217">
        <f>700-20</f>
        <v>680</v>
      </c>
      <c r="AF30" s="163">
        <v>700</v>
      </c>
      <c r="AG30" s="414">
        <v>700</v>
      </c>
      <c r="AH30" s="163">
        <v>700</v>
      </c>
      <c r="AI30" s="414">
        <v>700</v>
      </c>
      <c r="AJ30" s="163">
        <v>700</v>
      </c>
      <c r="AK30" s="414">
        <v>700</v>
      </c>
      <c r="AL30" s="414">
        <v>700</v>
      </c>
      <c r="AM30" s="535">
        <v>700</v>
      </c>
      <c r="AN30" s="163">
        <v>700</v>
      </c>
      <c r="AO30" s="163">
        <v>700</v>
      </c>
      <c r="AP30" s="56">
        <f t="shared" si="2"/>
        <v>100</v>
      </c>
      <c r="AQ30" s="57"/>
      <c r="AR30" s="2"/>
      <c r="AS30" s="511">
        <v>700</v>
      </c>
      <c r="AT30" s="511">
        <f t="shared" si="3"/>
        <v>0</v>
      </c>
    </row>
    <row r="31" spans="2:46" ht="26.4" x14ac:dyDescent="0.25">
      <c r="B31" s="1">
        <v>1</v>
      </c>
      <c r="C31" s="37">
        <v>17</v>
      </c>
      <c r="D31" s="58" t="s">
        <v>111</v>
      </c>
      <c r="E31" s="307">
        <v>907</v>
      </c>
      <c r="F31" s="308">
        <v>231</v>
      </c>
      <c r="G31" s="307"/>
      <c r="H31" s="308">
        <v>192</v>
      </c>
      <c r="I31" s="307"/>
      <c r="J31" s="461">
        <v>38</v>
      </c>
      <c r="K31" s="461">
        <v>116</v>
      </c>
      <c r="L31" s="461">
        <v>162</v>
      </c>
      <c r="M31" s="461">
        <f>1058-200</f>
        <v>858</v>
      </c>
      <c r="N31" s="461">
        <v>889</v>
      </c>
      <c r="O31" s="461">
        <v>421</v>
      </c>
      <c r="P31" s="59">
        <v>244</v>
      </c>
      <c r="Q31" s="60">
        <f>778-40-150</f>
        <v>588</v>
      </c>
      <c r="R31" s="59">
        <v>401</v>
      </c>
      <c r="S31" s="60">
        <f>706-150+150</f>
        <v>706</v>
      </c>
      <c r="T31" s="59">
        <v>1121</v>
      </c>
      <c r="U31" s="248">
        <v>621</v>
      </c>
      <c r="V31" s="223">
        <v>2792</v>
      </c>
      <c r="W31" s="248">
        <f>919+1050+1000</f>
        <v>2969</v>
      </c>
      <c r="X31" s="223">
        <v>1491</v>
      </c>
      <c r="Y31" s="248">
        <f>998+1000</f>
        <v>1998</v>
      </c>
      <c r="Z31" s="223">
        <v>1553</v>
      </c>
      <c r="AA31" s="248">
        <f>660+1000</f>
        <v>1660</v>
      </c>
      <c r="AB31" s="223">
        <v>2670</v>
      </c>
      <c r="AC31" s="248">
        <f>750+1000+500</f>
        <v>2250</v>
      </c>
      <c r="AD31" s="390">
        <v>3020</v>
      </c>
      <c r="AE31" s="248">
        <f>1750+250+250</f>
        <v>2250</v>
      </c>
      <c r="AF31" s="223">
        <v>2775</v>
      </c>
      <c r="AG31" s="415">
        <f>1540+1000</f>
        <v>2540</v>
      </c>
      <c r="AH31" s="223">
        <v>7024</v>
      </c>
      <c r="AI31" s="415">
        <f>1270+2200+1000</f>
        <v>4470</v>
      </c>
      <c r="AJ31" s="223">
        <v>2831</v>
      </c>
      <c r="AK31" s="415">
        <f>1330+2800+1000</f>
        <v>5130</v>
      </c>
      <c r="AL31" s="415">
        <f>900+2800-480+1900</f>
        <v>5120</v>
      </c>
      <c r="AM31" s="222">
        <f>0+4330</f>
        <v>4330</v>
      </c>
      <c r="AN31" s="223">
        <f>480</f>
        <v>480</v>
      </c>
      <c r="AO31" s="223">
        <f>400</f>
        <v>400</v>
      </c>
      <c r="AP31" s="61">
        <f t="shared" si="2"/>
        <v>83.3</v>
      </c>
      <c r="AQ31" s="51"/>
      <c r="AR31" s="2"/>
      <c r="AS31" s="511">
        <v>3700</v>
      </c>
      <c r="AT31" s="511">
        <f t="shared" si="3"/>
        <v>-3220</v>
      </c>
    </row>
    <row r="32" spans="2:46" ht="28.8" x14ac:dyDescent="0.25">
      <c r="B32" s="1">
        <v>1</v>
      </c>
      <c r="C32" s="37">
        <v>18</v>
      </c>
      <c r="D32" s="62" t="s">
        <v>85</v>
      </c>
      <c r="E32" s="309">
        <v>5569</v>
      </c>
      <c r="F32" s="310">
        <v>4240</v>
      </c>
      <c r="G32" s="311"/>
      <c r="H32" s="310">
        <v>2930</v>
      </c>
      <c r="I32" s="311"/>
      <c r="J32" s="462">
        <v>6717</v>
      </c>
      <c r="K32" s="462">
        <v>5277</v>
      </c>
      <c r="L32" s="462">
        <v>831</v>
      </c>
      <c r="M32" s="462">
        <f>963-132</f>
        <v>831</v>
      </c>
      <c r="N32" s="462">
        <v>1793</v>
      </c>
      <c r="O32" s="462">
        <v>1793</v>
      </c>
      <c r="P32" s="63">
        <v>1709</v>
      </c>
      <c r="Q32" s="64">
        <v>1400</v>
      </c>
      <c r="R32" s="63">
        <v>1002</v>
      </c>
      <c r="S32" s="64">
        <v>1002</v>
      </c>
      <c r="T32" s="63">
        <v>1425</v>
      </c>
      <c r="U32" s="249">
        <v>1440</v>
      </c>
      <c r="V32" s="224">
        <v>1233</v>
      </c>
      <c r="W32" s="249">
        <f>1020+250</f>
        <v>1270</v>
      </c>
      <c r="X32" s="224">
        <v>1283</v>
      </c>
      <c r="Y32" s="249">
        <v>1283</v>
      </c>
      <c r="Z32" s="224">
        <v>1500</v>
      </c>
      <c r="AA32" s="249">
        <v>1500</v>
      </c>
      <c r="AB32" s="224">
        <v>1533</v>
      </c>
      <c r="AC32" s="249">
        <v>1400</v>
      </c>
      <c r="AD32" s="391">
        <v>1723</v>
      </c>
      <c r="AE32" s="249">
        <v>1723</v>
      </c>
      <c r="AF32" s="224">
        <v>1300</v>
      </c>
      <c r="AG32" s="416">
        <v>1300</v>
      </c>
      <c r="AH32" s="224">
        <v>800</v>
      </c>
      <c r="AI32" s="416">
        <v>800</v>
      </c>
      <c r="AJ32" s="224">
        <v>1770</v>
      </c>
      <c r="AK32" s="416">
        <v>1770</v>
      </c>
      <c r="AL32" s="416">
        <v>1800</v>
      </c>
      <c r="AM32" s="536">
        <v>1800</v>
      </c>
      <c r="AN32" s="224">
        <v>1600</v>
      </c>
      <c r="AO32" s="224">
        <v>1700</v>
      </c>
      <c r="AP32" s="65">
        <f t="shared" si="2"/>
        <v>106.3</v>
      </c>
      <c r="AQ32" s="51"/>
      <c r="AR32" s="2"/>
      <c r="AS32" s="511">
        <v>1800</v>
      </c>
      <c r="AT32" s="511">
        <f t="shared" si="3"/>
        <v>-200</v>
      </c>
    </row>
    <row r="33" spans="2:46" x14ac:dyDescent="0.25">
      <c r="B33" s="1">
        <v>1</v>
      </c>
      <c r="C33" s="37">
        <v>19</v>
      </c>
      <c r="D33" s="43" t="s">
        <v>54</v>
      </c>
      <c r="E33" s="305">
        <v>12</v>
      </c>
      <c r="F33" s="306">
        <v>13</v>
      </c>
      <c r="G33" s="305"/>
      <c r="H33" s="306">
        <v>13</v>
      </c>
      <c r="I33" s="305"/>
      <c r="J33" s="460">
        <v>14</v>
      </c>
      <c r="K33" s="460">
        <v>14</v>
      </c>
      <c r="L33" s="460">
        <v>14</v>
      </c>
      <c r="M33" s="460">
        <v>14</v>
      </c>
      <c r="N33" s="460">
        <v>14</v>
      </c>
      <c r="O33" s="460">
        <v>14</v>
      </c>
      <c r="P33" s="54">
        <v>14</v>
      </c>
      <c r="Q33" s="55">
        <v>14</v>
      </c>
      <c r="R33" s="54">
        <v>14</v>
      </c>
      <c r="S33" s="55">
        <v>14</v>
      </c>
      <c r="T33" s="54"/>
      <c r="U33" s="217"/>
      <c r="V33" s="163"/>
      <c r="W33" s="217">
        <v>0</v>
      </c>
      <c r="X33" s="163"/>
      <c r="Y33" s="217"/>
      <c r="Z33" s="163"/>
      <c r="AA33" s="217"/>
      <c r="AB33" s="163"/>
      <c r="AC33" s="217"/>
      <c r="AD33" s="389"/>
      <c r="AE33" s="217"/>
      <c r="AF33" s="163"/>
      <c r="AG33" s="414"/>
      <c r="AH33" s="163"/>
      <c r="AI33" s="414"/>
      <c r="AJ33" s="163"/>
      <c r="AK33" s="414"/>
      <c r="AL33" s="414"/>
      <c r="AM33" s="163"/>
      <c r="AN33" s="163"/>
      <c r="AO33" s="163"/>
      <c r="AP33" s="56" t="str">
        <f t="shared" si="2"/>
        <v xml:space="preserve"> </v>
      </c>
      <c r="AQ33" s="57"/>
      <c r="AR33" s="2"/>
      <c r="AS33" s="511"/>
      <c r="AT33" s="511">
        <f t="shared" si="3"/>
        <v>0</v>
      </c>
    </row>
    <row r="34" spans="2:46" x14ac:dyDescent="0.25">
      <c r="B34" s="1">
        <v>1</v>
      </c>
      <c r="C34" s="37">
        <v>20</v>
      </c>
      <c r="D34" s="43" t="s">
        <v>15</v>
      </c>
      <c r="E34" s="305">
        <v>13</v>
      </c>
      <c r="F34" s="306">
        <v>20</v>
      </c>
      <c r="G34" s="305"/>
      <c r="H34" s="306">
        <v>32</v>
      </c>
      <c r="I34" s="305"/>
      <c r="J34" s="460">
        <v>35</v>
      </c>
      <c r="K34" s="460">
        <v>35</v>
      </c>
      <c r="L34" s="460">
        <v>21</v>
      </c>
      <c r="M34" s="460">
        <v>35</v>
      </c>
      <c r="N34" s="460">
        <v>21</v>
      </c>
      <c r="O34" s="460">
        <v>0</v>
      </c>
      <c r="P34" s="54">
        <v>0</v>
      </c>
      <c r="Q34" s="55">
        <v>0</v>
      </c>
      <c r="R34" s="54">
        <v>0</v>
      </c>
      <c r="S34" s="55">
        <v>0</v>
      </c>
      <c r="T34" s="54"/>
      <c r="U34" s="217"/>
      <c r="V34" s="163"/>
      <c r="W34" s="217">
        <v>0</v>
      </c>
      <c r="X34" s="163"/>
      <c r="Y34" s="217"/>
      <c r="Z34" s="163"/>
      <c r="AA34" s="217"/>
      <c r="AB34" s="163"/>
      <c r="AC34" s="217"/>
      <c r="AD34" s="389"/>
      <c r="AE34" s="217"/>
      <c r="AF34" s="163"/>
      <c r="AG34" s="414"/>
      <c r="AH34" s="163"/>
      <c r="AI34" s="414"/>
      <c r="AJ34" s="163"/>
      <c r="AK34" s="414"/>
      <c r="AL34" s="414"/>
      <c r="AM34" s="163"/>
      <c r="AN34" s="163"/>
      <c r="AO34" s="163"/>
      <c r="AP34" s="56" t="str">
        <f t="shared" si="2"/>
        <v xml:space="preserve"> </v>
      </c>
      <c r="AQ34" s="57"/>
      <c r="AR34" s="2"/>
      <c r="AS34" s="511"/>
      <c r="AT34" s="511">
        <f t="shared" si="3"/>
        <v>0</v>
      </c>
    </row>
    <row r="35" spans="2:46" x14ac:dyDescent="0.25">
      <c r="B35" s="1">
        <v>1</v>
      </c>
      <c r="C35" s="37">
        <v>21</v>
      </c>
      <c r="D35" s="43" t="s">
        <v>16</v>
      </c>
      <c r="E35" s="305">
        <v>60</v>
      </c>
      <c r="F35" s="306">
        <v>110</v>
      </c>
      <c r="G35" s="305"/>
      <c r="H35" s="306">
        <v>70</v>
      </c>
      <c r="I35" s="305"/>
      <c r="J35" s="460"/>
      <c r="K35" s="460"/>
      <c r="L35" s="460"/>
      <c r="M35" s="460"/>
      <c r="N35" s="460"/>
      <c r="O35" s="460"/>
      <c r="P35" s="54"/>
      <c r="Q35" s="55"/>
      <c r="R35" s="54"/>
      <c r="S35" s="55"/>
      <c r="T35" s="54"/>
      <c r="U35" s="217"/>
      <c r="V35" s="163"/>
      <c r="W35" s="217"/>
      <c r="X35" s="163"/>
      <c r="Y35" s="217"/>
      <c r="Z35" s="163"/>
      <c r="AA35" s="217"/>
      <c r="AB35" s="163"/>
      <c r="AC35" s="217"/>
      <c r="AD35" s="389"/>
      <c r="AE35" s="217"/>
      <c r="AF35" s="163"/>
      <c r="AG35" s="414"/>
      <c r="AH35" s="163"/>
      <c r="AI35" s="414"/>
      <c r="AJ35" s="163"/>
      <c r="AK35" s="414"/>
      <c r="AL35" s="414"/>
      <c r="AM35" s="163"/>
      <c r="AN35" s="163"/>
      <c r="AO35" s="163"/>
      <c r="AP35" s="56" t="str">
        <f t="shared" si="2"/>
        <v xml:space="preserve"> </v>
      </c>
      <c r="AQ35" s="57"/>
      <c r="AR35" s="2"/>
      <c r="AS35" s="511"/>
      <c r="AT35" s="511">
        <f t="shared" si="3"/>
        <v>0</v>
      </c>
    </row>
    <row r="36" spans="2:46" ht="26.4" x14ac:dyDescent="0.25">
      <c r="B36" s="1">
        <v>1</v>
      </c>
      <c r="C36" s="37">
        <v>22</v>
      </c>
      <c r="D36" s="43" t="s">
        <v>93</v>
      </c>
      <c r="E36" s="305">
        <v>4</v>
      </c>
      <c r="F36" s="306">
        <v>21</v>
      </c>
      <c r="G36" s="305"/>
      <c r="H36" s="306">
        <f>2+21</f>
        <v>23</v>
      </c>
      <c r="I36" s="305"/>
      <c r="J36" s="460">
        <v>30</v>
      </c>
      <c r="K36" s="460">
        <v>93</v>
      </c>
      <c r="L36" s="460">
        <v>51</v>
      </c>
      <c r="M36" s="460">
        <f>12+258</f>
        <v>270</v>
      </c>
      <c r="N36" s="460">
        <f>12+297</f>
        <v>309</v>
      </c>
      <c r="O36" s="460">
        <v>73</v>
      </c>
      <c r="P36" s="54">
        <v>111</v>
      </c>
      <c r="Q36" s="55">
        <f>1+257</f>
        <v>258</v>
      </c>
      <c r="R36" s="54">
        <v>115</v>
      </c>
      <c r="S36" s="55">
        <v>258</v>
      </c>
      <c r="T36" s="54">
        <v>288</v>
      </c>
      <c r="U36" s="217">
        <v>1325</v>
      </c>
      <c r="V36" s="163">
        <v>299</v>
      </c>
      <c r="W36" s="217">
        <f>3380-163-2000</f>
        <v>1217</v>
      </c>
      <c r="X36" s="163">
        <v>305</v>
      </c>
      <c r="Y36" s="217">
        <v>850</v>
      </c>
      <c r="Z36" s="163">
        <v>635</v>
      </c>
      <c r="AA36" s="217">
        <f>850-100</f>
        <v>750</v>
      </c>
      <c r="AB36" s="163">
        <v>258</v>
      </c>
      <c r="AC36" s="217">
        <v>850</v>
      </c>
      <c r="AD36" s="389">
        <v>662</v>
      </c>
      <c r="AE36" s="217">
        <f>900-100-3</f>
        <v>797</v>
      </c>
      <c r="AF36" s="163">
        <v>207</v>
      </c>
      <c r="AG36" s="414">
        <f>850-2</f>
        <v>848</v>
      </c>
      <c r="AH36" s="163">
        <v>192</v>
      </c>
      <c r="AI36" s="414">
        <v>850</v>
      </c>
      <c r="AJ36" s="163">
        <v>401</v>
      </c>
      <c r="AK36" s="414">
        <f>850-8</f>
        <v>842</v>
      </c>
      <c r="AL36" s="414">
        <f>850-50</f>
        <v>800</v>
      </c>
      <c r="AM36" s="163">
        <v>415</v>
      </c>
      <c r="AN36" s="163">
        <v>850</v>
      </c>
      <c r="AO36" s="163">
        <v>850</v>
      </c>
      <c r="AP36" s="56">
        <f t="shared" si="2"/>
        <v>100</v>
      </c>
      <c r="AQ36" s="57"/>
      <c r="AR36" s="2"/>
      <c r="AS36" s="511">
        <v>850</v>
      </c>
      <c r="AT36" s="511">
        <f t="shared" si="3"/>
        <v>0</v>
      </c>
    </row>
    <row r="37" spans="2:46" ht="15.6" x14ac:dyDescent="0.25">
      <c r="C37" s="37">
        <v>23</v>
      </c>
      <c r="D37" s="43" t="s">
        <v>82</v>
      </c>
      <c r="E37" s="305"/>
      <c r="F37" s="306">
        <v>50</v>
      </c>
      <c r="G37" s="305"/>
      <c r="H37" s="306">
        <v>50</v>
      </c>
      <c r="I37" s="305"/>
      <c r="J37" s="460">
        <v>0</v>
      </c>
      <c r="K37" s="460"/>
      <c r="L37" s="460"/>
      <c r="M37" s="460">
        <v>0</v>
      </c>
      <c r="N37" s="460">
        <v>0</v>
      </c>
      <c r="O37" s="460"/>
      <c r="P37" s="54"/>
      <c r="Q37" s="55">
        <v>0</v>
      </c>
      <c r="R37" s="54"/>
      <c r="S37" s="55"/>
      <c r="T37" s="54"/>
      <c r="U37" s="217"/>
      <c r="V37" s="163"/>
      <c r="W37" s="217"/>
      <c r="X37" s="163"/>
      <c r="Y37" s="217"/>
      <c r="Z37" s="163"/>
      <c r="AA37" s="217"/>
      <c r="AB37" s="163"/>
      <c r="AC37" s="217"/>
      <c r="AD37" s="389"/>
      <c r="AE37" s="217"/>
      <c r="AF37" s="163"/>
      <c r="AG37" s="414"/>
      <c r="AH37" s="163"/>
      <c r="AI37" s="414"/>
      <c r="AJ37" s="163"/>
      <c r="AK37" s="414"/>
      <c r="AL37" s="414"/>
      <c r="AM37" s="163"/>
      <c r="AN37" s="163"/>
      <c r="AO37" s="163"/>
      <c r="AP37" s="56" t="str">
        <f t="shared" si="2"/>
        <v xml:space="preserve"> </v>
      </c>
      <c r="AR37" s="2"/>
      <c r="AS37" s="511"/>
      <c r="AT37" s="511">
        <f t="shared" si="3"/>
        <v>0</v>
      </c>
    </row>
    <row r="38" spans="2:46" ht="66" x14ac:dyDescent="0.25">
      <c r="C38" s="37">
        <v>24</v>
      </c>
      <c r="D38" s="43" t="s">
        <v>98</v>
      </c>
      <c r="E38" s="305"/>
      <c r="F38" s="306">
        <v>535</v>
      </c>
      <c r="G38" s="305"/>
      <c r="H38" s="306">
        <v>1000</v>
      </c>
      <c r="I38" s="305"/>
      <c r="J38" s="460">
        <v>122</v>
      </c>
      <c r="K38" s="460">
        <v>25</v>
      </c>
      <c r="L38" s="460">
        <v>6</v>
      </c>
      <c r="M38" s="460">
        <v>33</v>
      </c>
      <c r="N38" s="460">
        <f>10+228+153+810</f>
        <v>1201</v>
      </c>
      <c r="O38" s="460">
        <v>996</v>
      </c>
      <c r="P38" s="54">
        <v>1010</v>
      </c>
      <c r="Q38" s="55">
        <f>222+53+875</f>
        <v>1150</v>
      </c>
      <c r="R38" s="54">
        <v>766</v>
      </c>
      <c r="S38" s="55">
        <f>194*0+4*0+816</f>
        <v>816</v>
      </c>
      <c r="T38" s="54">
        <v>753</v>
      </c>
      <c r="U38" s="217">
        <v>688</v>
      </c>
      <c r="V38" s="163">
        <v>1491</v>
      </c>
      <c r="W38" s="217">
        <f>781+2500-1000</f>
        <v>2281</v>
      </c>
      <c r="X38" s="163">
        <v>779</v>
      </c>
      <c r="Y38" s="217">
        <f>898+800</f>
        <v>1698</v>
      </c>
      <c r="Z38" s="163">
        <v>781</v>
      </c>
      <c r="AA38" s="217">
        <f>808+200</f>
        <v>1008</v>
      </c>
      <c r="AB38" s="163">
        <v>646</v>
      </c>
      <c r="AC38" s="217">
        <f>728+100</f>
        <v>828</v>
      </c>
      <c r="AD38" s="389">
        <v>797</v>
      </c>
      <c r="AE38" s="217">
        <f>881+49+19</f>
        <v>949</v>
      </c>
      <c r="AF38" s="163">
        <v>736</v>
      </c>
      <c r="AG38" s="414">
        <f>823+29+1+20</f>
        <v>873</v>
      </c>
      <c r="AH38" s="163">
        <v>638</v>
      </c>
      <c r="AI38" s="414">
        <f>18+750+29+1</f>
        <v>798</v>
      </c>
      <c r="AJ38" s="163">
        <v>580</v>
      </c>
      <c r="AK38" s="414">
        <v>722</v>
      </c>
      <c r="AL38" s="414">
        <f>644+80</f>
        <v>724</v>
      </c>
      <c r="AM38" s="163">
        <v>535</v>
      </c>
      <c r="AN38" s="163">
        <v>544</v>
      </c>
      <c r="AO38" s="163">
        <v>526</v>
      </c>
      <c r="AP38" s="56">
        <f t="shared" si="2"/>
        <v>96.7</v>
      </c>
      <c r="AQ38" s="1" t="s">
        <v>105</v>
      </c>
      <c r="AR38" s="2"/>
      <c r="AS38" s="511">
        <v>724</v>
      </c>
      <c r="AT38" s="511">
        <f t="shared" si="3"/>
        <v>-180</v>
      </c>
    </row>
    <row r="39" spans="2:46" ht="25.2" x14ac:dyDescent="0.25">
      <c r="C39" s="37">
        <v>25</v>
      </c>
      <c r="D39" s="66" t="s">
        <v>90</v>
      </c>
      <c r="E39" s="312">
        <v>18</v>
      </c>
      <c r="F39" s="313">
        <v>39</v>
      </c>
      <c r="G39" s="314"/>
      <c r="H39" s="313">
        <v>53</v>
      </c>
      <c r="I39" s="314"/>
      <c r="J39" s="463">
        <v>51</v>
      </c>
      <c r="K39" s="463">
        <v>63</v>
      </c>
      <c r="L39" s="463">
        <v>48</v>
      </c>
      <c r="M39" s="463">
        <f>68+8</f>
        <v>76</v>
      </c>
      <c r="N39" s="463">
        <f>72+6</f>
        <v>78</v>
      </c>
      <c r="O39" s="463">
        <v>46</v>
      </c>
      <c r="P39" s="67"/>
      <c r="Q39" s="69">
        <v>18</v>
      </c>
      <c r="R39" s="163"/>
      <c r="S39" s="217"/>
      <c r="T39" s="163"/>
      <c r="U39" s="217"/>
      <c r="V39" s="163"/>
      <c r="W39" s="217"/>
      <c r="X39" s="163"/>
      <c r="Y39" s="217"/>
      <c r="Z39" s="163"/>
      <c r="AA39" s="217"/>
      <c r="AB39" s="163"/>
      <c r="AC39" s="217"/>
      <c r="AD39" s="389"/>
      <c r="AE39" s="217"/>
      <c r="AF39" s="163"/>
      <c r="AG39" s="414"/>
      <c r="AH39" s="163"/>
      <c r="AI39" s="414"/>
      <c r="AJ39" s="163"/>
      <c r="AK39" s="414"/>
      <c r="AL39" s="414"/>
      <c r="AM39" s="163"/>
      <c r="AN39" s="163"/>
      <c r="AO39" s="163"/>
      <c r="AP39" s="56" t="str">
        <f t="shared" si="2"/>
        <v xml:space="preserve"> </v>
      </c>
      <c r="AR39" s="2"/>
      <c r="AS39" s="511"/>
      <c r="AT39" s="511">
        <f t="shared" si="3"/>
        <v>0</v>
      </c>
    </row>
    <row r="40" spans="2:46" ht="39.6" x14ac:dyDescent="0.25">
      <c r="C40" s="37">
        <v>26</v>
      </c>
      <c r="D40" s="66" t="s">
        <v>51</v>
      </c>
      <c r="E40" s="312"/>
      <c r="F40" s="313">
        <v>77</v>
      </c>
      <c r="G40" s="314"/>
      <c r="H40" s="313">
        <v>141</v>
      </c>
      <c r="I40" s="314"/>
      <c r="J40" s="463">
        <v>0</v>
      </c>
      <c r="K40" s="463">
        <v>0</v>
      </c>
      <c r="L40" s="463">
        <v>0</v>
      </c>
      <c r="M40" s="463">
        <f>575-431-50</f>
        <v>94</v>
      </c>
      <c r="N40" s="463">
        <v>60</v>
      </c>
      <c r="O40" s="463">
        <v>0</v>
      </c>
      <c r="P40" s="67"/>
      <c r="Q40" s="69">
        <v>0</v>
      </c>
      <c r="R40" s="163"/>
      <c r="S40" s="217">
        <v>0</v>
      </c>
      <c r="T40" s="163"/>
      <c r="U40" s="217"/>
      <c r="V40" s="163"/>
      <c r="W40" s="217"/>
      <c r="X40" s="163"/>
      <c r="Y40" s="217"/>
      <c r="Z40" s="163"/>
      <c r="AA40" s="217"/>
      <c r="AB40" s="163"/>
      <c r="AC40" s="217"/>
      <c r="AD40" s="389"/>
      <c r="AE40" s="217"/>
      <c r="AF40" s="163"/>
      <c r="AG40" s="414"/>
      <c r="AH40" s="163"/>
      <c r="AI40" s="414"/>
      <c r="AJ40" s="163"/>
      <c r="AK40" s="414"/>
      <c r="AL40" s="414"/>
      <c r="AM40" s="163"/>
      <c r="AN40" s="163"/>
      <c r="AO40" s="163"/>
      <c r="AP40" s="56" t="str">
        <f t="shared" si="2"/>
        <v xml:space="preserve"> </v>
      </c>
      <c r="AR40" s="2"/>
      <c r="AS40" s="511"/>
      <c r="AT40" s="511">
        <f t="shared" si="3"/>
        <v>0</v>
      </c>
    </row>
    <row r="41" spans="2:46" x14ac:dyDescent="0.25">
      <c r="C41" s="37">
        <v>27</v>
      </c>
      <c r="D41" s="66" t="s">
        <v>69</v>
      </c>
      <c r="E41" s="312"/>
      <c r="F41" s="313">
        <v>285</v>
      </c>
      <c r="G41" s="314"/>
      <c r="H41" s="313">
        <v>305</v>
      </c>
      <c r="I41" s="314"/>
      <c r="J41" s="463">
        <v>261</v>
      </c>
      <c r="K41" s="463">
        <v>1</v>
      </c>
      <c r="L41" s="463">
        <v>0</v>
      </c>
      <c r="M41" s="463">
        <v>10</v>
      </c>
      <c r="N41" s="463">
        <v>10</v>
      </c>
      <c r="O41" s="463"/>
      <c r="P41" s="67"/>
      <c r="Q41" s="69">
        <v>0</v>
      </c>
      <c r="R41" s="163"/>
      <c r="S41" s="217">
        <v>0</v>
      </c>
      <c r="T41" s="163"/>
      <c r="U41" s="217">
        <v>0</v>
      </c>
      <c r="V41" s="163"/>
      <c r="W41" s="217"/>
      <c r="X41" s="163"/>
      <c r="Y41" s="217"/>
      <c r="Z41" s="163"/>
      <c r="AA41" s="217"/>
      <c r="AB41" s="163"/>
      <c r="AC41" s="217"/>
      <c r="AD41" s="389"/>
      <c r="AE41" s="217"/>
      <c r="AF41" s="163"/>
      <c r="AG41" s="414"/>
      <c r="AH41" s="163"/>
      <c r="AI41" s="414"/>
      <c r="AJ41" s="163"/>
      <c r="AK41" s="414"/>
      <c r="AL41" s="414"/>
      <c r="AM41" s="163"/>
      <c r="AN41" s="163"/>
      <c r="AO41" s="163"/>
      <c r="AP41" s="56" t="str">
        <f t="shared" si="2"/>
        <v xml:space="preserve"> </v>
      </c>
      <c r="AR41" s="2"/>
      <c r="AS41" s="511"/>
      <c r="AT41" s="511">
        <f t="shared" si="3"/>
        <v>0</v>
      </c>
    </row>
    <row r="42" spans="2:46" x14ac:dyDescent="0.25">
      <c r="C42" s="70">
        <v>28</v>
      </c>
      <c r="D42" s="170" t="s">
        <v>70</v>
      </c>
      <c r="E42" s="314"/>
      <c r="F42" s="315"/>
      <c r="G42" s="314"/>
      <c r="H42" s="315"/>
      <c r="I42" s="314"/>
      <c r="J42" s="464"/>
      <c r="K42" s="464"/>
      <c r="L42" s="464"/>
      <c r="M42" s="464"/>
      <c r="N42" s="464">
        <v>12</v>
      </c>
      <c r="O42" s="464">
        <v>0</v>
      </c>
      <c r="P42" s="68"/>
      <c r="Q42" s="71">
        <f>500-50</f>
        <v>450</v>
      </c>
      <c r="R42" s="68">
        <v>146</v>
      </c>
      <c r="S42" s="71">
        <v>300</v>
      </c>
      <c r="T42" s="68">
        <v>141</v>
      </c>
      <c r="U42" s="69">
        <v>150</v>
      </c>
      <c r="V42" s="67">
        <v>120</v>
      </c>
      <c r="W42" s="69">
        <v>150</v>
      </c>
      <c r="X42" s="67">
        <v>161</v>
      </c>
      <c r="Y42" s="69">
        <v>215</v>
      </c>
      <c r="Z42" s="67">
        <v>159</v>
      </c>
      <c r="AA42" s="69">
        <f>133+68</f>
        <v>201</v>
      </c>
      <c r="AB42" s="67">
        <v>147</v>
      </c>
      <c r="AC42" s="69">
        <v>175</v>
      </c>
      <c r="AD42" s="392">
        <v>139</v>
      </c>
      <c r="AE42" s="69">
        <v>168</v>
      </c>
      <c r="AF42" s="67">
        <v>137</v>
      </c>
      <c r="AG42" s="417">
        <v>158</v>
      </c>
      <c r="AH42" s="67">
        <v>123</v>
      </c>
      <c r="AI42" s="417">
        <f>105+53</f>
        <v>158</v>
      </c>
      <c r="AJ42" s="67">
        <v>115</v>
      </c>
      <c r="AK42" s="417">
        <v>158</v>
      </c>
      <c r="AL42" s="417">
        <f>145-118</f>
        <v>27</v>
      </c>
      <c r="AM42" s="67">
        <v>109</v>
      </c>
      <c r="AN42" s="67">
        <f>132</f>
        <v>132</v>
      </c>
      <c r="AO42" s="67">
        <v>120</v>
      </c>
      <c r="AP42" s="72">
        <f t="shared" si="2"/>
        <v>90.9</v>
      </c>
      <c r="AR42" s="2"/>
      <c r="AS42" s="511">
        <v>27</v>
      </c>
      <c r="AT42" s="511">
        <f t="shared" si="3"/>
        <v>105</v>
      </c>
    </row>
    <row r="43" spans="2:46" ht="26.4" x14ac:dyDescent="0.25">
      <c r="C43" s="70">
        <v>29</v>
      </c>
      <c r="D43" s="170" t="s">
        <v>103</v>
      </c>
      <c r="E43" s="314"/>
      <c r="F43" s="315"/>
      <c r="G43" s="314"/>
      <c r="H43" s="315"/>
      <c r="I43" s="314"/>
      <c r="J43" s="464"/>
      <c r="K43" s="464"/>
      <c r="L43" s="464"/>
      <c r="M43" s="464"/>
      <c r="N43" s="464"/>
      <c r="O43" s="464"/>
      <c r="P43" s="68"/>
      <c r="Q43" s="71"/>
      <c r="R43" s="68"/>
      <c r="S43" s="71"/>
      <c r="T43" s="68"/>
      <c r="U43" s="69"/>
      <c r="V43" s="67"/>
      <c r="W43" s="69"/>
      <c r="X43" s="67"/>
      <c r="Y43" s="69"/>
      <c r="Z43" s="67"/>
      <c r="AA43" s="69"/>
      <c r="AB43" s="67">
        <v>1959</v>
      </c>
      <c r="AC43" s="69"/>
      <c r="AD43" s="392">
        <v>2024</v>
      </c>
      <c r="AE43" s="69">
        <v>2032</v>
      </c>
      <c r="AF43" s="67">
        <v>2052</v>
      </c>
      <c r="AG43" s="417">
        <v>2052</v>
      </c>
      <c r="AH43" s="67">
        <v>2060</v>
      </c>
      <c r="AI43" s="417">
        <v>2060</v>
      </c>
      <c r="AJ43" s="67">
        <v>2066</v>
      </c>
      <c r="AK43" s="417">
        <v>2066</v>
      </c>
      <c r="AL43" s="417">
        <v>2081</v>
      </c>
      <c r="AM43" s="67">
        <v>2081</v>
      </c>
      <c r="AN43" s="67">
        <v>2133</v>
      </c>
      <c r="AO43" s="67">
        <v>2178</v>
      </c>
      <c r="AP43" s="72">
        <f t="shared" si="2"/>
        <v>102.1</v>
      </c>
      <c r="AR43" s="2"/>
      <c r="AS43" s="511">
        <v>2081</v>
      </c>
      <c r="AT43" s="511">
        <f t="shared" si="3"/>
        <v>52</v>
      </c>
    </row>
    <row r="44" spans="2:46" ht="26.4" x14ac:dyDescent="0.25">
      <c r="C44" s="70">
        <v>30</v>
      </c>
      <c r="D44" s="170" t="s">
        <v>116</v>
      </c>
      <c r="E44" s="314"/>
      <c r="F44" s="315"/>
      <c r="G44" s="314"/>
      <c r="H44" s="315"/>
      <c r="I44" s="314"/>
      <c r="J44" s="464"/>
      <c r="K44" s="464"/>
      <c r="L44" s="464"/>
      <c r="M44" s="464"/>
      <c r="N44" s="464"/>
      <c r="O44" s="464"/>
      <c r="P44" s="68"/>
      <c r="Q44" s="71"/>
      <c r="R44" s="68"/>
      <c r="S44" s="71"/>
      <c r="T44" s="68"/>
      <c r="U44" s="69"/>
      <c r="V44" s="67"/>
      <c r="W44" s="69"/>
      <c r="X44" s="67"/>
      <c r="Y44" s="69"/>
      <c r="Z44" s="67"/>
      <c r="AA44" s="69"/>
      <c r="AB44" s="67"/>
      <c r="AC44" s="69"/>
      <c r="AD44" s="392"/>
      <c r="AE44" s="69"/>
      <c r="AF44" s="67"/>
      <c r="AG44" s="417"/>
      <c r="AH44" s="67"/>
      <c r="AI44" s="417">
        <v>700</v>
      </c>
      <c r="AJ44" s="67"/>
      <c r="AK44" s="417">
        <v>700</v>
      </c>
      <c r="AL44" s="417">
        <v>650</v>
      </c>
      <c r="AM44" s="67">
        <v>1800</v>
      </c>
      <c r="AN44" s="67">
        <v>750</v>
      </c>
      <c r="AO44" s="67">
        <v>1800</v>
      </c>
      <c r="AP44" s="72">
        <f t="shared" si="2"/>
        <v>240</v>
      </c>
      <c r="AQ44" s="1" t="s">
        <v>118</v>
      </c>
      <c r="AR44" s="2"/>
      <c r="AS44" s="511">
        <v>650</v>
      </c>
      <c r="AT44" s="511">
        <f t="shared" si="3"/>
        <v>100</v>
      </c>
    </row>
    <row r="45" spans="2:46" x14ac:dyDescent="0.25">
      <c r="C45" s="70">
        <v>31</v>
      </c>
      <c r="D45" s="170" t="s">
        <v>122</v>
      </c>
      <c r="E45" s="314"/>
      <c r="F45" s="315"/>
      <c r="G45" s="314"/>
      <c r="H45" s="315"/>
      <c r="I45" s="314"/>
      <c r="J45" s="464"/>
      <c r="K45" s="464"/>
      <c r="L45" s="464"/>
      <c r="M45" s="464"/>
      <c r="N45" s="464"/>
      <c r="O45" s="464"/>
      <c r="P45" s="68"/>
      <c r="Q45" s="71"/>
      <c r="R45" s="68"/>
      <c r="S45" s="71"/>
      <c r="T45" s="68"/>
      <c r="U45" s="69"/>
      <c r="V45" s="67"/>
      <c r="W45" s="69"/>
      <c r="X45" s="67">
        <v>8775</v>
      </c>
      <c r="Y45" s="69"/>
      <c r="Z45" s="67">
        <v>11700</v>
      </c>
      <c r="AA45" s="69"/>
      <c r="AB45" s="67">
        <v>11700</v>
      </c>
      <c r="AC45" s="69"/>
      <c r="AD45" s="392">
        <v>14750</v>
      </c>
      <c r="AE45" s="69"/>
      <c r="AF45" s="67">
        <v>15700</v>
      </c>
      <c r="AG45" s="417"/>
      <c r="AH45" s="67">
        <v>20399</v>
      </c>
      <c r="AI45" s="417"/>
      <c r="AJ45" s="67">
        <v>25260</v>
      </c>
      <c r="AK45" s="417"/>
      <c r="AL45" s="417">
        <v>26185</v>
      </c>
      <c r="AM45" s="67">
        <v>24238</v>
      </c>
      <c r="AN45" s="67">
        <v>25000</v>
      </c>
      <c r="AO45" s="67">
        <v>27000</v>
      </c>
      <c r="AP45" s="72">
        <f t="shared" si="2"/>
        <v>108</v>
      </c>
      <c r="AR45" s="2"/>
      <c r="AS45" s="511"/>
      <c r="AT45" s="511"/>
    </row>
    <row r="46" spans="2:46" ht="13.8" thickBot="1" x14ac:dyDescent="0.3">
      <c r="B46" s="1">
        <v>1</v>
      </c>
      <c r="C46" s="73">
        <v>32</v>
      </c>
      <c r="D46" s="74" t="s">
        <v>17</v>
      </c>
      <c r="E46" s="316">
        <v>30</v>
      </c>
      <c r="F46" s="317">
        <v>32</v>
      </c>
      <c r="G46" s="316"/>
      <c r="H46" s="317">
        <v>32</v>
      </c>
      <c r="I46" s="316"/>
      <c r="J46" s="465">
        <v>36</v>
      </c>
      <c r="K46" s="465">
        <v>40</v>
      </c>
      <c r="L46" s="465">
        <v>45</v>
      </c>
      <c r="M46" s="465">
        <f>40+5</f>
        <v>45</v>
      </c>
      <c r="N46" s="465">
        <v>45</v>
      </c>
      <c r="O46" s="465">
        <v>44</v>
      </c>
      <c r="P46" s="75">
        <v>45</v>
      </c>
      <c r="Q46" s="76">
        <v>45</v>
      </c>
      <c r="R46" s="75">
        <v>45</v>
      </c>
      <c r="S46" s="76">
        <v>45</v>
      </c>
      <c r="T46" s="75">
        <v>45</v>
      </c>
      <c r="U46" s="250">
        <v>45</v>
      </c>
      <c r="V46" s="225">
        <v>40</v>
      </c>
      <c r="W46" s="250">
        <v>40</v>
      </c>
      <c r="X46" s="225">
        <v>40</v>
      </c>
      <c r="Y46" s="250">
        <v>40</v>
      </c>
      <c r="Z46" s="225">
        <v>31</v>
      </c>
      <c r="AA46" s="250">
        <v>32</v>
      </c>
      <c r="AB46" s="225">
        <v>32</v>
      </c>
      <c r="AC46" s="250">
        <v>32</v>
      </c>
      <c r="AD46" s="393">
        <v>32</v>
      </c>
      <c r="AE46" s="250">
        <v>32</v>
      </c>
      <c r="AF46" s="225">
        <v>39</v>
      </c>
      <c r="AG46" s="418">
        <v>32</v>
      </c>
      <c r="AH46" s="225">
        <v>53</v>
      </c>
      <c r="AI46" s="418">
        <v>40</v>
      </c>
      <c r="AJ46" s="225">
        <v>40</v>
      </c>
      <c r="AK46" s="418">
        <v>40</v>
      </c>
      <c r="AL46" s="418">
        <v>40</v>
      </c>
      <c r="AM46" s="225">
        <v>41</v>
      </c>
      <c r="AN46" s="225">
        <v>40</v>
      </c>
      <c r="AO46" s="225">
        <v>53</v>
      </c>
      <c r="AP46" s="77">
        <f t="shared" si="2"/>
        <v>132.5</v>
      </c>
      <c r="AQ46" s="57"/>
      <c r="AR46" s="2"/>
      <c r="AS46" s="511">
        <v>40</v>
      </c>
      <c r="AT46" s="511">
        <f t="shared" si="3"/>
        <v>0</v>
      </c>
    </row>
    <row r="47" spans="2:46" ht="31.8" thickBot="1" x14ac:dyDescent="0.35">
      <c r="C47" s="78"/>
      <c r="D47" s="79" t="s">
        <v>18</v>
      </c>
      <c r="E47" s="318">
        <f>SUM(E12:E46)</f>
        <v>331937</v>
      </c>
      <c r="F47" s="319">
        <f>SUM(F12:F46)</f>
        <v>351506</v>
      </c>
      <c r="G47" s="318"/>
      <c r="H47" s="319">
        <f>SUM(H12:H46)</f>
        <v>377028</v>
      </c>
      <c r="I47" s="318"/>
      <c r="J47" s="466">
        <f t="shared" ref="J47:AO47" si="4">SUM(J12:J46)</f>
        <v>401343</v>
      </c>
      <c r="K47" s="466">
        <f t="shared" si="4"/>
        <v>418252</v>
      </c>
      <c r="L47" s="466">
        <f t="shared" si="4"/>
        <v>425050</v>
      </c>
      <c r="M47" s="466">
        <f t="shared" si="4"/>
        <v>431251</v>
      </c>
      <c r="N47" s="466">
        <f t="shared" si="4"/>
        <v>459927</v>
      </c>
      <c r="O47" s="466">
        <f t="shared" si="4"/>
        <v>473731</v>
      </c>
      <c r="P47" s="80">
        <f t="shared" si="4"/>
        <v>518971</v>
      </c>
      <c r="Q47" s="81">
        <f t="shared" si="4"/>
        <v>525472</v>
      </c>
      <c r="R47" s="80">
        <f t="shared" si="4"/>
        <v>545155</v>
      </c>
      <c r="S47" s="81">
        <f t="shared" si="4"/>
        <v>540574</v>
      </c>
      <c r="T47" s="226">
        <f t="shared" si="4"/>
        <v>585042</v>
      </c>
      <c r="U47" s="251">
        <f t="shared" si="4"/>
        <v>572367</v>
      </c>
      <c r="V47" s="226">
        <f t="shared" si="4"/>
        <v>589102</v>
      </c>
      <c r="W47" s="251">
        <f t="shared" si="4"/>
        <v>608965</v>
      </c>
      <c r="X47" s="226">
        <f t="shared" si="4"/>
        <v>613295</v>
      </c>
      <c r="Y47" s="251">
        <f t="shared" si="4"/>
        <v>628944</v>
      </c>
      <c r="Z47" s="226">
        <f t="shared" si="4"/>
        <v>625399</v>
      </c>
      <c r="AA47" s="251">
        <f t="shared" si="4"/>
        <v>648564</v>
      </c>
      <c r="AB47" s="226">
        <f t="shared" si="4"/>
        <v>640042</v>
      </c>
      <c r="AC47" s="251">
        <f t="shared" si="4"/>
        <v>641311</v>
      </c>
      <c r="AD47" s="226">
        <f t="shared" si="4"/>
        <v>655034</v>
      </c>
      <c r="AE47" s="251">
        <f t="shared" si="4"/>
        <v>660621</v>
      </c>
      <c r="AF47" s="226">
        <f t="shared" si="4"/>
        <v>662451</v>
      </c>
      <c r="AG47" s="226">
        <f t="shared" si="4"/>
        <v>667823</v>
      </c>
      <c r="AH47" s="226">
        <f t="shared" si="4"/>
        <v>667050</v>
      </c>
      <c r="AI47" s="419">
        <f t="shared" si="4"/>
        <v>662117</v>
      </c>
      <c r="AJ47" s="226">
        <f t="shared" si="4"/>
        <v>689025</v>
      </c>
      <c r="AK47" s="419">
        <f t="shared" si="4"/>
        <v>681277</v>
      </c>
      <c r="AL47" s="419">
        <f t="shared" ref="AL47" si="5">SUM(AL12:AL46)</f>
        <v>736760</v>
      </c>
      <c r="AM47" s="226">
        <f t="shared" si="4"/>
        <v>723173.4</v>
      </c>
      <c r="AN47" s="226">
        <f t="shared" si="4"/>
        <v>776177</v>
      </c>
      <c r="AO47" s="226">
        <f t="shared" si="4"/>
        <v>830525</v>
      </c>
      <c r="AP47" s="82">
        <f t="shared" si="2"/>
        <v>107</v>
      </c>
      <c r="AQ47" s="83"/>
      <c r="AR47" s="2"/>
      <c r="AS47" s="511">
        <v>709955</v>
      </c>
      <c r="AT47" s="511">
        <f t="shared" si="3"/>
        <v>66222</v>
      </c>
    </row>
    <row r="48" spans="2:46" x14ac:dyDescent="0.25">
      <c r="C48" s="37"/>
      <c r="D48" s="43"/>
      <c r="E48" s="305"/>
      <c r="F48" s="306"/>
      <c r="G48" s="305"/>
      <c r="H48" s="306"/>
      <c r="I48" s="305"/>
      <c r="J48" s="460"/>
      <c r="K48" s="460"/>
      <c r="L48" s="460"/>
      <c r="M48" s="460"/>
      <c r="N48" s="460"/>
      <c r="O48" s="460"/>
      <c r="P48" s="54"/>
      <c r="Q48" s="55"/>
      <c r="R48" s="54"/>
      <c r="S48" s="55"/>
      <c r="T48" s="54"/>
      <c r="U48" s="217"/>
      <c r="V48" s="163"/>
      <c r="W48" s="217"/>
      <c r="X48" s="163"/>
      <c r="Y48" s="217"/>
      <c r="Z48" s="163"/>
      <c r="AA48" s="217"/>
      <c r="AB48" s="163"/>
      <c r="AC48" s="217"/>
      <c r="AD48" s="389"/>
      <c r="AE48" s="217"/>
      <c r="AF48" s="163"/>
      <c r="AG48" s="414"/>
      <c r="AH48" s="163"/>
      <c r="AI48" s="414"/>
      <c r="AJ48" s="163"/>
      <c r="AK48" s="414"/>
      <c r="AL48" s="414"/>
      <c r="AM48" s="163"/>
      <c r="AN48" s="163"/>
      <c r="AO48" s="163"/>
      <c r="AP48" s="56" t="str">
        <f t="shared" si="2"/>
        <v xml:space="preserve"> </v>
      </c>
      <c r="AQ48" s="57"/>
      <c r="AR48" s="2"/>
      <c r="AS48" s="511"/>
      <c r="AT48" s="511">
        <f t="shared" si="3"/>
        <v>0</v>
      </c>
    </row>
    <row r="49" spans="2:46" ht="15.6" x14ac:dyDescent="0.25">
      <c r="C49" s="84"/>
      <c r="D49" s="85" t="s">
        <v>19</v>
      </c>
      <c r="E49" s="305"/>
      <c r="F49" s="306"/>
      <c r="G49" s="305"/>
      <c r="H49" s="306"/>
      <c r="I49" s="305"/>
      <c r="J49" s="460"/>
      <c r="K49" s="460"/>
      <c r="L49" s="460"/>
      <c r="M49" s="460"/>
      <c r="N49" s="460"/>
      <c r="O49" s="460"/>
      <c r="P49" s="54"/>
      <c r="Q49" s="55"/>
      <c r="R49" s="54"/>
      <c r="S49" s="55"/>
      <c r="T49" s="54"/>
      <c r="U49" s="217"/>
      <c r="V49" s="163"/>
      <c r="W49" s="217"/>
      <c r="X49" s="163"/>
      <c r="Y49" s="217"/>
      <c r="Z49" s="163"/>
      <c r="AA49" s="217"/>
      <c r="AB49" s="163"/>
      <c r="AC49" s="217"/>
      <c r="AD49" s="389"/>
      <c r="AE49" s="217"/>
      <c r="AF49" s="163"/>
      <c r="AG49" s="414"/>
      <c r="AH49" s="163"/>
      <c r="AI49" s="414"/>
      <c r="AJ49" s="163"/>
      <c r="AK49" s="414"/>
      <c r="AL49" s="414"/>
      <c r="AM49" s="163"/>
      <c r="AN49" s="163"/>
      <c r="AO49" s="163"/>
      <c r="AP49" s="56" t="str">
        <f t="shared" si="2"/>
        <v xml:space="preserve"> </v>
      </c>
      <c r="AQ49" s="57"/>
      <c r="AR49" s="2"/>
      <c r="AS49" s="511"/>
      <c r="AT49" s="511">
        <f t="shared" si="3"/>
        <v>0</v>
      </c>
    </row>
    <row r="50" spans="2:46" x14ac:dyDescent="0.25">
      <c r="C50" s="86"/>
      <c r="D50" s="87" t="s">
        <v>20</v>
      </c>
      <c r="E50" s="305"/>
      <c r="F50" s="306"/>
      <c r="G50" s="305"/>
      <c r="H50" s="306"/>
      <c r="I50" s="305"/>
      <c r="J50" s="460"/>
      <c r="K50" s="460"/>
      <c r="L50" s="460"/>
      <c r="M50" s="460"/>
      <c r="N50" s="460"/>
      <c r="O50" s="460"/>
      <c r="P50" s="54"/>
      <c r="Q50" s="55"/>
      <c r="R50" s="54"/>
      <c r="S50" s="55"/>
      <c r="T50" s="54"/>
      <c r="U50" s="217"/>
      <c r="V50" s="163"/>
      <c r="W50" s="217"/>
      <c r="X50" s="163"/>
      <c r="Y50" s="217"/>
      <c r="Z50" s="163"/>
      <c r="AA50" s="217"/>
      <c r="AB50" s="163"/>
      <c r="AC50" s="217"/>
      <c r="AD50" s="389"/>
      <c r="AE50" s="217"/>
      <c r="AF50" s="163"/>
      <c r="AG50" s="414"/>
      <c r="AH50" s="163"/>
      <c r="AI50" s="414"/>
      <c r="AJ50" s="163"/>
      <c r="AK50" s="414"/>
      <c r="AL50" s="414"/>
      <c r="AM50" s="163"/>
      <c r="AN50" s="163"/>
      <c r="AO50" s="163"/>
      <c r="AP50" s="56" t="str">
        <f t="shared" si="2"/>
        <v xml:space="preserve"> </v>
      </c>
      <c r="AQ50" s="57"/>
      <c r="AR50" s="2"/>
      <c r="AS50" s="511"/>
      <c r="AT50" s="511">
        <f t="shared" si="3"/>
        <v>0</v>
      </c>
    </row>
    <row r="51" spans="2:46" x14ac:dyDescent="0.25">
      <c r="B51" s="1">
        <v>2</v>
      </c>
      <c r="C51" s="37">
        <v>1</v>
      </c>
      <c r="D51" s="43" t="s">
        <v>21</v>
      </c>
      <c r="E51" s="302">
        <v>276</v>
      </c>
      <c r="F51" s="303">
        <v>479</v>
      </c>
      <c r="G51" s="302"/>
      <c r="H51" s="303">
        <f>530-66</f>
        <v>464</v>
      </c>
      <c r="I51" s="302"/>
      <c r="J51" s="459">
        <v>496</v>
      </c>
      <c r="K51" s="459">
        <v>472</v>
      </c>
      <c r="L51" s="459">
        <v>344</v>
      </c>
      <c r="M51" s="459">
        <v>400</v>
      </c>
      <c r="N51" s="459">
        <v>300</v>
      </c>
      <c r="O51" s="459">
        <v>174</v>
      </c>
      <c r="P51" s="48">
        <v>77</v>
      </c>
      <c r="Q51" s="49">
        <v>100</v>
      </c>
      <c r="R51" s="48">
        <v>24</v>
      </c>
      <c r="S51" s="49">
        <v>64</v>
      </c>
      <c r="T51" s="48">
        <v>9</v>
      </c>
      <c r="U51" s="238">
        <v>42</v>
      </c>
      <c r="V51" s="179">
        <v>18</v>
      </c>
      <c r="W51" s="238">
        <v>77</v>
      </c>
      <c r="X51" s="179">
        <v>23</v>
      </c>
      <c r="Y51" s="238">
        <v>14</v>
      </c>
      <c r="Z51" s="179">
        <v>20</v>
      </c>
      <c r="AA51" s="238">
        <v>23</v>
      </c>
      <c r="AB51" s="179">
        <v>16</v>
      </c>
      <c r="AC51" s="238">
        <v>20</v>
      </c>
      <c r="AD51" s="388">
        <v>9</v>
      </c>
      <c r="AE51" s="238">
        <v>15</v>
      </c>
      <c r="AF51" s="179">
        <v>4</v>
      </c>
      <c r="AG51" s="413">
        <v>18</v>
      </c>
      <c r="AH51" s="179">
        <v>0</v>
      </c>
      <c r="AI51" s="413">
        <v>2</v>
      </c>
      <c r="AJ51" s="179"/>
      <c r="AK51" s="413">
        <v>2</v>
      </c>
      <c r="AL51" s="413">
        <v>0</v>
      </c>
      <c r="AM51" s="179"/>
      <c r="AN51" s="179">
        <v>0</v>
      </c>
      <c r="AO51" s="179"/>
      <c r="AP51" s="50" t="str">
        <f t="shared" si="2"/>
        <v xml:space="preserve"> </v>
      </c>
      <c r="AQ51" s="51"/>
      <c r="AR51" s="2"/>
      <c r="AS51" s="511">
        <v>0</v>
      </c>
      <c r="AT51" s="511">
        <f t="shared" si="3"/>
        <v>0</v>
      </c>
    </row>
    <row r="52" spans="2:46" x14ac:dyDescent="0.25">
      <c r="B52" s="1">
        <v>2</v>
      </c>
      <c r="C52" s="37">
        <v>2</v>
      </c>
      <c r="D52" s="43" t="s">
        <v>22</v>
      </c>
      <c r="E52" s="302">
        <v>26</v>
      </c>
      <c r="F52" s="303">
        <v>21</v>
      </c>
      <c r="G52" s="302"/>
      <c r="H52" s="303">
        <v>11</v>
      </c>
      <c r="I52" s="302"/>
      <c r="J52" s="459">
        <v>7</v>
      </c>
      <c r="K52" s="459">
        <v>5</v>
      </c>
      <c r="L52" s="459">
        <v>3</v>
      </c>
      <c r="M52" s="459">
        <v>6</v>
      </c>
      <c r="N52" s="459">
        <v>4</v>
      </c>
      <c r="O52" s="459">
        <v>1</v>
      </c>
      <c r="P52" s="48"/>
      <c r="Q52" s="49">
        <v>1</v>
      </c>
      <c r="R52" s="48"/>
      <c r="S52" s="49">
        <v>1</v>
      </c>
      <c r="T52" s="48"/>
      <c r="U52" s="238"/>
      <c r="V52" s="179"/>
      <c r="W52" s="238"/>
      <c r="X52" s="179"/>
      <c r="Y52" s="238"/>
      <c r="Z52" s="179"/>
      <c r="AA52" s="238"/>
      <c r="AB52" s="179"/>
      <c r="AC52" s="238"/>
      <c r="AD52" s="388"/>
      <c r="AE52" s="238"/>
      <c r="AF52" s="179"/>
      <c r="AG52" s="413"/>
      <c r="AH52" s="179"/>
      <c r="AI52" s="413"/>
      <c r="AJ52" s="179"/>
      <c r="AK52" s="413"/>
      <c r="AL52" s="413"/>
      <c r="AM52" s="179"/>
      <c r="AN52" s="179"/>
      <c r="AO52" s="179"/>
      <c r="AP52" s="50" t="str">
        <f t="shared" si="2"/>
        <v xml:space="preserve"> </v>
      </c>
      <c r="AQ52" s="51"/>
      <c r="AR52" s="2"/>
      <c r="AS52" s="511"/>
      <c r="AT52" s="511">
        <f t="shared" si="3"/>
        <v>0</v>
      </c>
    </row>
    <row r="53" spans="2:46" ht="26.4" x14ac:dyDescent="0.25">
      <c r="B53" s="1">
        <v>2</v>
      </c>
      <c r="C53" s="37">
        <v>3</v>
      </c>
      <c r="D53" s="43" t="s">
        <v>23</v>
      </c>
      <c r="E53" s="305">
        <v>1</v>
      </c>
      <c r="F53" s="306">
        <v>1</v>
      </c>
      <c r="G53" s="305"/>
      <c r="H53" s="306">
        <v>1</v>
      </c>
      <c r="I53" s="305"/>
      <c r="J53" s="460">
        <v>0</v>
      </c>
      <c r="K53" s="460">
        <v>0</v>
      </c>
      <c r="L53" s="460">
        <v>0</v>
      </c>
      <c r="M53" s="460">
        <v>1</v>
      </c>
      <c r="N53" s="460">
        <v>1</v>
      </c>
      <c r="O53" s="460"/>
      <c r="P53" s="54"/>
      <c r="Q53" s="55"/>
      <c r="R53" s="54"/>
      <c r="S53" s="55"/>
      <c r="T53" s="54"/>
      <c r="U53" s="217"/>
      <c r="V53" s="163"/>
      <c r="W53" s="217"/>
      <c r="X53" s="163"/>
      <c r="Y53" s="217"/>
      <c r="Z53" s="163"/>
      <c r="AA53" s="217"/>
      <c r="AB53" s="163"/>
      <c r="AC53" s="217"/>
      <c r="AD53" s="389"/>
      <c r="AE53" s="217"/>
      <c r="AF53" s="163"/>
      <c r="AG53" s="414"/>
      <c r="AH53" s="163"/>
      <c r="AI53" s="414"/>
      <c r="AJ53" s="163"/>
      <c r="AK53" s="414"/>
      <c r="AL53" s="414"/>
      <c r="AM53" s="163"/>
      <c r="AN53" s="163"/>
      <c r="AO53" s="163"/>
      <c r="AP53" s="56" t="str">
        <f t="shared" si="2"/>
        <v xml:space="preserve"> </v>
      </c>
      <c r="AQ53" s="57"/>
      <c r="AR53" s="2"/>
      <c r="AS53" s="511"/>
      <c r="AT53" s="511">
        <f t="shared" si="3"/>
        <v>0</v>
      </c>
    </row>
    <row r="54" spans="2:46" x14ac:dyDescent="0.25">
      <c r="C54" s="37">
        <v>4</v>
      </c>
      <c r="D54" s="43" t="s">
        <v>24</v>
      </c>
      <c r="E54" s="305">
        <v>15</v>
      </c>
      <c r="F54" s="306">
        <v>25</v>
      </c>
      <c r="G54" s="305"/>
      <c r="H54" s="306">
        <v>40</v>
      </c>
      <c r="I54" s="305"/>
      <c r="J54" s="460">
        <v>26</v>
      </c>
      <c r="K54" s="460">
        <v>49</v>
      </c>
      <c r="L54" s="460">
        <v>44</v>
      </c>
      <c r="M54" s="460">
        <f>42</f>
        <v>42</v>
      </c>
      <c r="N54" s="460">
        <v>44</v>
      </c>
      <c r="O54" s="460">
        <v>40</v>
      </c>
      <c r="P54" s="54">
        <v>45</v>
      </c>
      <c r="Q54" s="55">
        <v>55</v>
      </c>
      <c r="R54" s="54">
        <v>42</v>
      </c>
      <c r="S54" s="55">
        <v>55</v>
      </c>
      <c r="T54" s="54">
        <v>47</v>
      </c>
      <c r="U54" s="217">
        <v>55</v>
      </c>
      <c r="V54" s="163">
        <v>74</v>
      </c>
      <c r="W54" s="217">
        <v>55</v>
      </c>
      <c r="X54" s="163">
        <v>37</v>
      </c>
      <c r="Y54" s="217">
        <v>60</v>
      </c>
      <c r="Z54" s="163">
        <v>47</v>
      </c>
      <c r="AA54" s="217">
        <v>70</v>
      </c>
      <c r="AB54" s="163">
        <v>42</v>
      </c>
      <c r="AC54" s="217">
        <v>75</v>
      </c>
      <c r="AD54" s="389">
        <v>33</v>
      </c>
      <c r="AE54" s="217">
        <f>75-5</f>
        <v>70</v>
      </c>
      <c r="AF54" s="163">
        <v>41</v>
      </c>
      <c r="AG54" s="414">
        <v>75</v>
      </c>
      <c r="AH54" s="163">
        <v>43</v>
      </c>
      <c r="AI54" s="414">
        <v>75</v>
      </c>
      <c r="AJ54" s="163">
        <v>55</v>
      </c>
      <c r="AK54" s="414">
        <v>75</v>
      </c>
      <c r="AL54" s="414">
        <v>75</v>
      </c>
      <c r="AM54" s="163">
        <v>42</v>
      </c>
      <c r="AN54" s="163">
        <v>75</v>
      </c>
      <c r="AO54" s="163">
        <v>75</v>
      </c>
      <c r="AP54" s="56">
        <f t="shared" si="2"/>
        <v>100</v>
      </c>
      <c r="AQ54" s="57"/>
      <c r="AR54" s="2"/>
      <c r="AS54" s="511">
        <v>75</v>
      </c>
      <c r="AT54" s="511">
        <f t="shared" si="3"/>
        <v>0</v>
      </c>
    </row>
    <row r="55" spans="2:46" ht="13.8" thickBot="1" x14ac:dyDescent="0.3">
      <c r="B55" s="1">
        <v>2</v>
      </c>
      <c r="C55" s="37"/>
      <c r="D55" s="74"/>
      <c r="E55" s="316"/>
      <c r="F55" s="317"/>
      <c r="G55" s="316"/>
      <c r="H55" s="317"/>
      <c r="I55" s="316"/>
      <c r="J55" s="465"/>
      <c r="K55" s="465"/>
      <c r="L55" s="465"/>
      <c r="M55" s="465"/>
      <c r="N55" s="465"/>
      <c r="O55" s="465"/>
      <c r="P55" s="75"/>
      <c r="Q55" s="76"/>
      <c r="R55" s="75"/>
      <c r="S55" s="76"/>
      <c r="T55" s="75"/>
      <c r="U55" s="250"/>
      <c r="V55" s="225"/>
      <c r="W55" s="250"/>
      <c r="X55" s="225"/>
      <c r="Y55" s="250"/>
      <c r="Z55" s="225"/>
      <c r="AA55" s="250"/>
      <c r="AB55" s="225"/>
      <c r="AC55" s="250"/>
      <c r="AD55" s="393"/>
      <c r="AE55" s="250"/>
      <c r="AF55" s="225"/>
      <c r="AG55" s="418"/>
      <c r="AH55" s="225"/>
      <c r="AI55" s="418"/>
      <c r="AJ55" s="225"/>
      <c r="AK55" s="418"/>
      <c r="AL55" s="418"/>
      <c r="AM55" s="225"/>
      <c r="AN55" s="225"/>
      <c r="AO55" s="225"/>
      <c r="AP55" s="77" t="str">
        <f t="shared" si="2"/>
        <v xml:space="preserve"> </v>
      </c>
      <c r="AQ55" s="57"/>
      <c r="AR55" s="2"/>
      <c r="AS55" s="511"/>
      <c r="AT55" s="511">
        <f t="shared" si="3"/>
        <v>0</v>
      </c>
    </row>
    <row r="56" spans="2:46" ht="13.8" thickBot="1" x14ac:dyDescent="0.3">
      <c r="C56" s="88"/>
      <c r="D56" s="89" t="s">
        <v>25</v>
      </c>
      <c r="E56" s="320">
        <f>SUM(E51:E55)</f>
        <v>318</v>
      </c>
      <c r="F56" s="321">
        <f>SUM(F51:F55)</f>
        <v>526</v>
      </c>
      <c r="G56" s="320"/>
      <c r="H56" s="321">
        <f>SUM(H51:H55)</f>
        <v>516</v>
      </c>
      <c r="I56" s="320"/>
      <c r="J56" s="467">
        <f t="shared" ref="J56:AO56" si="6">SUM(J51:J55)</f>
        <v>529</v>
      </c>
      <c r="K56" s="467">
        <f t="shared" si="6"/>
        <v>526</v>
      </c>
      <c r="L56" s="467">
        <f t="shared" si="6"/>
        <v>391</v>
      </c>
      <c r="M56" s="467">
        <f t="shared" si="6"/>
        <v>449</v>
      </c>
      <c r="N56" s="467">
        <f t="shared" si="6"/>
        <v>349</v>
      </c>
      <c r="O56" s="467">
        <f t="shared" si="6"/>
        <v>215</v>
      </c>
      <c r="P56" s="268">
        <f t="shared" si="6"/>
        <v>122</v>
      </c>
      <c r="Q56" s="268">
        <f>SUM(Q51:Q55)</f>
        <v>156</v>
      </c>
      <c r="R56" s="268">
        <f>SUM(R51:R55)</f>
        <v>66</v>
      </c>
      <c r="S56" s="269">
        <f t="shared" si="6"/>
        <v>120</v>
      </c>
      <c r="T56" s="268">
        <f>SUM(T51:T55)</f>
        <v>56</v>
      </c>
      <c r="U56" s="268">
        <f>SUM(U51:U55)</f>
        <v>97</v>
      </c>
      <c r="V56" s="268">
        <f>SUM(V51:V55)</f>
        <v>92</v>
      </c>
      <c r="W56" s="270">
        <f t="shared" si="6"/>
        <v>132</v>
      </c>
      <c r="X56" s="268">
        <f t="shared" si="6"/>
        <v>60</v>
      </c>
      <c r="Y56" s="270">
        <f t="shared" si="6"/>
        <v>74</v>
      </c>
      <c r="Z56" s="271">
        <f t="shared" si="6"/>
        <v>67</v>
      </c>
      <c r="AA56" s="270">
        <f t="shared" si="6"/>
        <v>93</v>
      </c>
      <c r="AB56" s="271">
        <f t="shared" si="6"/>
        <v>58</v>
      </c>
      <c r="AC56" s="270">
        <f t="shared" si="6"/>
        <v>95</v>
      </c>
      <c r="AD56" s="271">
        <f t="shared" si="6"/>
        <v>42</v>
      </c>
      <c r="AE56" s="270">
        <f t="shared" si="6"/>
        <v>85</v>
      </c>
      <c r="AF56" s="271">
        <f t="shared" si="6"/>
        <v>45</v>
      </c>
      <c r="AG56" s="271">
        <f t="shared" si="6"/>
        <v>93</v>
      </c>
      <c r="AH56" s="271">
        <f t="shared" si="6"/>
        <v>43</v>
      </c>
      <c r="AI56" s="420">
        <f t="shared" si="6"/>
        <v>77</v>
      </c>
      <c r="AJ56" s="271">
        <f t="shared" si="6"/>
        <v>55</v>
      </c>
      <c r="AK56" s="420">
        <f t="shared" si="6"/>
        <v>77</v>
      </c>
      <c r="AL56" s="420">
        <f t="shared" ref="AL56" si="7">SUM(AL51:AL55)</f>
        <v>75</v>
      </c>
      <c r="AM56" s="271">
        <f t="shared" si="6"/>
        <v>42</v>
      </c>
      <c r="AN56" s="271">
        <f t="shared" si="6"/>
        <v>75</v>
      </c>
      <c r="AO56" s="271">
        <f t="shared" si="6"/>
        <v>75</v>
      </c>
      <c r="AP56" s="272">
        <f t="shared" si="2"/>
        <v>100</v>
      </c>
      <c r="AQ56" s="57"/>
      <c r="AR56" s="2"/>
      <c r="AS56" s="511">
        <v>75</v>
      </c>
      <c r="AT56" s="511">
        <f t="shared" si="3"/>
        <v>0</v>
      </c>
    </row>
    <row r="57" spans="2:46" x14ac:dyDescent="0.25">
      <c r="C57" s="86"/>
      <c r="D57" s="87"/>
      <c r="E57" s="305"/>
      <c r="F57" s="306"/>
      <c r="G57" s="305"/>
      <c r="H57" s="306"/>
      <c r="I57" s="305"/>
      <c r="J57" s="460"/>
      <c r="K57" s="460"/>
      <c r="L57" s="460"/>
      <c r="M57" s="460"/>
      <c r="N57" s="460"/>
      <c r="O57" s="460"/>
      <c r="P57" s="54"/>
      <c r="Q57" s="55"/>
      <c r="R57" s="54"/>
      <c r="S57" s="55"/>
      <c r="T57" s="54"/>
      <c r="U57" s="217"/>
      <c r="V57" s="163"/>
      <c r="W57" s="217"/>
      <c r="X57" s="163"/>
      <c r="Y57" s="217"/>
      <c r="Z57" s="163"/>
      <c r="AA57" s="217"/>
      <c r="AB57" s="163"/>
      <c r="AC57" s="217"/>
      <c r="AD57" s="389"/>
      <c r="AE57" s="217"/>
      <c r="AF57" s="163"/>
      <c r="AG57" s="414"/>
      <c r="AH57" s="163"/>
      <c r="AI57" s="414"/>
      <c r="AJ57" s="163"/>
      <c r="AK57" s="414"/>
      <c r="AL57" s="414"/>
      <c r="AM57" s="163"/>
      <c r="AN57" s="163"/>
      <c r="AO57" s="163"/>
      <c r="AP57" s="56" t="str">
        <f t="shared" si="2"/>
        <v xml:space="preserve"> </v>
      </c>
      <c r="AQ57" s="57"/>
      <c r="AR57" s="2"/>
      <c r="AS57" s="511"/>
      <c r="AT57" s="511">
        <f t="shared" si="3"/>
        <v>0</v>
      </c>
    </row>
    <row r="58" spans="2:46" x14ac:dyDescent="0.25">
      <c r="C58" s="86"/>
      <c r="D58" s="87" t="s">
        <v>26</v>
      </c>
      <c r="E58" s="305"/>
      <c r="F58" s="306"/>
      <c r="G58" s="305"/>
      <c r="H58" s="306"/>
      <c r="I58" s="305"/>
      <c r="J58" s="460"/>
      <c r="K58" s="460"/>
      <c r="L58" s="460"/>
      <c r="M58" s="460"/>
      <c r="N58" s="460"/>
      <c r="O58" s="460"/>
      <c r="P58" s="54"/>
      <c r="Q58" s="55"/>
      <c r="R58" s="54"/>
      <c r="S58" s="55"/>
      <c r="T58" s="54"/>
      <c r="U58" s="217"/>
      <c r="V58" s="163"/>
      <c r="W58" s="217"/>
      <c r="X58" s="163"/>
      <c r="Y58" s="217"/>
      <c r="Z58" s="163"/>
      <c r="AA58" s="217"/>
      <c r="AB58" s="163"/>
      <c r="AC58" s="217"/>
      <c r="AD58" s="389"/>
      <c r="AE58" s="217"/>
      <c r="AF58" s="163"/>
      <c r="AG58" s="414"/>
      <c r="AH58" s="163"/>
      <c r="AI58" s="414"/>
      <c r="AJ58" s="163"/>
      <c r="AK58" s="414"/>
      <c r="AL58" s="414"/>
      <c r="AM58" s="163"/>
      <c r="AN58" s="163"/>
      <c r="AO58" s="163"/>
      <c r="AP58" s="56" t="str">
        <f t="shared" si="2"/>
        <v xml:space="preserve"> </v>
      </c>
      <c r="AQ58" s="57"/>
      <c r="AR58" s="2"/>
      <c r="AS58" s="511"/>
      <c r="AT58" s="511">
        <f t="shared" si="3"/>
        <v>0</v>
      </c>
    </row>
    <row r="59" spans="2:46" ht="26.4" x14ac:dyDescent="0.25">
      <c r="B59" s="1">
        <v>3</v>
      </c>
      <c r="C59" s="37">
        <v>1</v>
      </c>
      <c r="D59" s="90" t="s">
        <v>27</v>
      </c>
      <c r="E59" s="322">
        <v>513</v>
      </c>
      <c r="F59" s="323">
        <v>620</v>
      </c>
      <c r="G59" s="324"/>
      <c r="H59" s="323">
        <v>270</v>
      </c>
      <c r="I59" s="324"/>
      <c r="J59" s="468">
        <v>210</v>
      </c>
      <c r="K59" s="469"/>
      <c r="L59" s="469"/>
      <c r="M59" s="469"/>
      <c r="N59" s="469"/>
      <c r="O59" s="469"/>
      <c r="P59" s="91"/>
      <c r="Q59" s="92"/>
      <c r="R59" s="91"/>
      <c r="S59" s="92"/>
      <c r="T59" s="91"/>
      <c r="U59" s="252"/>
      <c r="V59" s="227"/>
      <c r="W59" s="252"/>
      <c r="X59" s="227"/>
      <c r="Y59" s="252"/>
      <c r="Z59" s="227"/>
      <c r="AA59" s="252"/>
      <c r="AB59" s="227"/>
      <c r="AC59" s="252"/>
      <c r="AD59" s="394"/>
      <c r="AE59" s="252"/>
      <c r="AF59" s="227"/>
      <c r="AG59" s="421"/>
      <c r="AH59" s="227"/>
      <c r="AI59" s="421"/>
      <c r="AJ59" s="227"/>
      <c r="AK59" s="421"/>
      <c r="AL59" s="421"/>
      <c r="AM59" s="521"/>
      <c r="AN59" s="521"/>
      <c r="AO59" s="521"/>
      <c r="AP59" s="93" t="str">
        <f t="shared" si="2"/>
        <v xml:space="preserve"> </v>
      </c>
      <c r="AQ59" s="94"/>
      <c r="AR59" s="2"/>
      <c r="AS59" s="511"/>
      <c r="AT59" s="511">
        <f t="shared" si="3"/>
        <v>0</v>
      </c>
    </row>
    <row r="60" spans="2:46" ht="39.6" x14ac:dyDescent="0.25">
      <c r="B60" s="1">
        <v>3</v>
      </c>
      <c r="C60" s="37">
        <v>2</v>
      </c>
      <c r="D60" s="43" t="s">
        <v>119</v>
      </c>
      <c r="E60" s="302">
        <v>1864</v>
      </c>
      <c r="F60" s="303">
        <v>648</v>
      </c>
      <c r="G60" s="304"/>
      <c r="H60" s="303">
        <v>3557</v>
      </c>
      <c r="I60" s="304"/>
      <c r="J60" s="459">
        <v>12183</v>
      </c>
      <c r="K60" s="459">
        <v>16335</v>
      </c>
      <c r="L60" s="459">
        <v>17913</v>
      </c>
      <c r="M60" s="459">
        <f>16872+1900-500-525</f>
        <v>17747</v>
      </c>
      <c r="N60" s="459">
        <f>7500+500-920</f>
        <v>7080</v>
      </c>
      <c r="O60" s="459">
        <v>20634</v>
      </c>
      <c r="P60" s="48">
        <v>4981</v>
      </c>
      <c r="Q60" s="49">
        <f>8381+500</f>
        <v>8881</v>
      </c>
      <c r="R60" s="48">
        <v>3153</v>
      </c>
      <c r="S60" s="49">
        <f>5188+404</f>
        <v>5592</v>
      </c>
      <c r="T60" s="48">
        <v>3000</v>
      </c>
      <c r="U60" s="238">
        <f>4714+332</f>
        <v>5046</v>
      </c>
      <c r="V60" s="179">
        <v>4740</v>
      </c>
      <c r="W60" s="238">
        <f>4791+332</f>
        <v>5123</v>
      </c>
      <c r="X60" s="179">
        <v>9723</v>
      </c>
      <c r="Y60" s="238">
        <f>4275+7332-221</f>
        <v>11386</v>
      </c>
      <c r="Z60" s="179">
        <v>2628</v>
      </c>
      <c r="AA60" s="238">
        <f>4100+5</f>
        <v>4105</v>
      </c>
      <c r="AB60" s="179">
        <v>2171</v>
      </c>
      <c r="AC60" s="238">
        <f>4201-950-500</f>
        <v>2751</v>
      </c>
      <c r="AD60" s="388">
        <v>2052</v>
      </c>
      <c r="AE60" s="238">
        <f>4514-1500</f>
        <v>3014</v>
      </c>
      <c r="AF60" s="179">
        <v>1394</v>
      </c>
      <c r="AG60" s="413">
        <v>2211</v>
      </c>
      <c r="AH60" s="179">
        <v>1582</v>
      </c>
      <c r="AI60" s="413">
        <f>1936+1</f>
        <v>1937</v>
      </c>
      <c r="AJ60" s="179">
        <v>922</v>
      </c>
      <c r="AK60" s="413">
        <f>1291+1</f>
        <v>1292</v>
      </c>
      <c r="AL60" s="413">
        <v>453</v>
      </c>
      <c r="AM60" s="179">
        <v>414</v>
      </c>
      <c r="AN60" s="179">
        <v>322</v>
      </c>
      <c r="AO60" s="179">
        <v>319</v>
      </c>
      <c r="AP60" s="50">
        <f t="shared" si="2"/>
        <v>99.1</v>
      </c>
      <c r="AQ60" s="51"/>
      <c r="AR60" s="2"/>
      <c r="AS60" s="511">
        <v>453</v>
      </c>
      <c r="AT60" s="511">
        <f t="shared" si="3"/>
        <v>-131</v>
      </c>
    </row>
    <row r="61" spans="2:46" x14ac:dyDescent="0.25">
      <c r="B61" s="1">
        <v>3</v>
      </c>
      <c r="C61" s="37">
        <v>3</v>
      </c>
      <c r="D61" s="43" t="s">
        <v>28</v>
      </c>
      <c r="E61" s="322">
        <v>80</v>
      </c>
      <c r="F61" s="323">
        <v>73</v>
      </c>
      <c r="G61" s="322"/>
      <c r="H61" s="323">
        <v>57</v>
      </c>
      <c r="I61" s="322"/>
      <c r="J61" s="468">
        <v>32</v>
      </c>
      <c r="K61" s="469">
        <v>0</v>
      </c>
      <c r="L61" s="469">
        <v>0</v>
      </c>
      <c r="M61" s="469">
        <v>0</v>
      </c>
      <c r="N61" s="469">
        <v>0</v>
      </c>
      <c r="O61" s="469">
        <v>0</v>
      </c>
      <c r="P61" s="91"/>
      <c r="Q61" s="92">
        <v>0</v>
      </c>
      <c r="R61" s="91"/>
      <c r="S61" s="92">
        <v>0</v>
      </c>
      <c r="T61" s="91"/>
      <c r="U61" s="252"/>
      <c r="V61" s="227"/>
      <c r="W61" s="252"/>
      <c r="X61" s="227"/>
      <c r="Y61" s="252"/>
      <c r="Z61" s="227"/>
      <c r="AA61" s="252"/>
      <c r="AB61" s="227"/>
      <c r="AC61" s="252"/>
      <c r="AD61" s="394"/>
      <c r="AE61" s="252"/>
      <c r="AF61" s="227"/>
      <c r="AG61" s="421"/>
      <c r="AH61" s="227"/>
      <c r="AI61" s="421"/>
      <c r="AJ61" s="227"/>
      <c r="AK61" s="421"/>
      <c r="AL61" s="421"/>
      <c r="AM61" s="521"/>
      <c r="AN61" s="521"/>
      <c r="AO61" s="521"/>
      <c r="AP61" s="93" t="str">
        <f t="shared" si="2"/>
        <v xml:space="preserve"> </v>
      </c>
      <c r="AQ61" s="94"/>
      <c r="AR61" s="2"/>
      <c r="AS61" s="511"/>
      <c r="AT61" s="511">
        <f t="shared" si="3"/>
        <v>0</v>
      </c>
    </row>
    <row r="62" spans="2:46" x14ac:dyDescent="0.25">
      <c r="B62" s="1">
        <v>3</v>
      </c>
      <c r="C62" s="37">
        <v>4</v>
      </c>
      <c r="D62" s="43" t="s">
        <v>55</v>
      </c>
      <c r="E62" s="302">
        <v>259</v>
      </c>
      <c r="F62" s="303">
        <f>59+84+1</f>
        <v>144</v>
      </c>
      <c r="G62" s="302"/>
      <c r="H62" s="303">
        <f>60+24</f>
        <v>84</v>
      </c>
      <c r="I62" s="302"/>
      <c r="J62" s="459">
        <v>61</v>
      </c>
      <c r="K62" s="459">
        <v>58</v>
      </c>
      <c r="L62" s="459">
        <v>43</v>
      </c>
      <c r="M62" s="459">
        <f>1800+60+200</f>
        <v>2060</v>
      </c>
      <c r="N62" s="459">
        <f>1800+41</f>
        <v>1841</v>
      </c>
      <c r="O62" s="459">
        <v>41</v>
      </c>
      <c r="P62" s="48">
        <v>41</v>
      </c>
      <c r="Q62" s="49">
        <f>1800+41</f>
        <v>1841</v>
      </c>
      <c r="R62" s="48">
        <v>37</v>
      </c>
      <c r="S62" s="49">
        <v>1841</v>
      </c>
      <c r="T62" s="48">
        <v>29</v>
      </c>
      <c r="U62" s="238">
        <f>1800+31-2</f>
        <v>1829</v>
      </c>
      <c r="V62" s="179">
        <v>24</v>
      </c>
      <c r="W62" s="238">
        <f>1800+29</f>
        <v>1829</v>
      </c>
      <c r="X62" s="179">
        <v>25</v>
      </c>
      <c r="Y62" s="238">
        <f>1800+25</f>
        <v>1825</v>
      </c>
      <c r="Z62" s="179">
        <v>18</v>
      </c>
      <c r="AA62" s="238">
        <v>25</v>
      </c>
      <c r="AB62" s="179">
        <v>20</v>
      </c>
      <c r="AC62" s="238">
        <v>21</v>
      </c>
      <c r="AD62" s="388">
        <v>16</v>
      </c>
      <c r="AE62" s="238">
        <v>18</v>
      </c>
      <c r="AF62" s="179">
        <v>15</v>
      </c>
      <c r="AG62" s="413">
        <v>15</v>
      </c>
      <c r="AH62" s="179">
        <v>14</v>
      </c>
      <c r="AI62" s="413">
        <v>15</v>
      </c>
      <c r="AJ62" s="179">
        <v>14</v>
      </c>
      <c r="AK62" s="413">
        <v>14</v>
      </c>
      <c r="AL62" s="413">
        <v>15</v>
      </c>
      <c r="AM62" s="179">
        <v>14</v>
      </c>
      <c r="AN62" s="179">
        <v>15</v>
      </c>
      <c r="AO62" s="179">
        <v>15</v>
      </c>
      <c r="AP62" s="50">
        <f t="shared" si="2"/>
        <v>100</v>
      </c>
      <c r="AQ62" s="51"/>
      <c r="AR62" s="2"/>
      <c r="AS62" s="511">
        <v>15</v>
      </c>
      <c r="AT62" s="511">
        <f t="shared" si="3"/>
        <v>0</v>
      </c>
    </row>
    <row r="63" spans="2:46" ht="26.4" x14ac:dyDescent="0.25">
      <c r="C63" s="95">
        <v>5</v>
      </c>
      <c r="D63" s="96" t="s">
        <v>88</v>
      </c>
      <c r="E63" s="325">
        <v>928</v>
      </c>
      <c r="F63" s="326">
        <f>317+707</f>
        <v>1024</v>
      </c>
      <c r="G63" s="325"/>
      <c r="H63" s="326">
        <f>272+717</f>
        <v>989</v>
      </c>
      <c r="I63" s="325"/>
      <c r="J63" s="470">
        <v>987</v>
      </c>
      <c r="K63" s="470">
        <v>1968</v>
      </c>
      <c r="L63" s="470">
        <v>2015</v>
      </c>
      <c r="M63" s="470">
        <f>1305+1114</f>
        <v>2419</v>
      </c>
      <c r="N63" s="470">
        <f>1216+1202</f>
        <v>2418</v>
      </c>
      <c r="O63" s="470">
        <v>2228</v>
      </c>
      <c r="P63" s="97">
        <v>2980</v>
      </c>
      <c r="Q63" s="98">
        <f>1900+1224+75</f>
        <v>3199</v>
      </c>
      <c r="R63" s="97">
        <v>2800</v>
      </c>
      <c r="S63" s="98">
        <f>1871+75+1193-19</f>
        <v>3120</v>
      </c>
      <c r="T63" s="97">
        <v>2089</v>
      </c>
      <c r="U63" s="253">
        <f>1142+1275-20</f>
        <v>2397</v>
      </c>
      <c r="V63" s="228">
        <v>1841</v>
      </c>
      <c r="W63" s="253">
        <f>592+1255</f>
        <v>1847</v>
      </c>
      <c r="X63" s="228">
        <v>2087</v>
      </c>
      <c r="Y63" s="253">
        <f>900+1255</f>
        <v>2155</v>
      </c>
      <c r="Z63" s="228">
        <v>2128</v>
      </c>
      <c r="AA63" s="253">
        <f>1157+1555</f>
        <v>2712</v>
      </c>
      <c r="AB63" s="228">
        <v>3427</v>
      </c>
      <c r="AC63" s="253">
        <f>1875+1562</f>
        <v>3437</v>
      </c>
      <c r="AD63" s="395">
        <v>3648</v>
      </c>
      <c r="AE63" s="253">
        <f>1394+1990+219</f>
        <v>3603</v>
      </c>
      <c r="AF63" s="228">
        <v>3801</v>
      </c>
      <c r="AG63" s="422">
        <f>3769-2</f>
        <v>3767</v>
      </c>
      <c r="AH63" s="228">
        <v>4947</v>
      </c>
      <c r="AI63" s="422">
        <f>3817-5</f>
        <v>3812</v>
      </c>
      <c r="AJ63" s="179">
        <v>4658</v>
      </c>
      <c r="AK63" s="422">
        <v>4365</v>
      </c>
      <c r="AL63" s="422">
        <f>5315-60</f>
        <v>5255</v>
      </c>
      <c r="AM63" s="228">
        <v>4515</v>
      </c>
      <c r="AN63" s="228">
        <v>4826</v>
      </c>
      <c r="AO63" s="228">
        <v>5189</v>
      </c>
      <c r="AP63" s="99">
        <f t="shared" si="2"/>
        <v>107.5</v>
      </c>
      <c r="AQ63" s="283" t="s">
        <v>87</v>
      </c>
      <c r="AR63" s="2"/>
      <c r="AS63" s="511">
        <v>5255</v>
      </c>
      <c r="AT63" s="511">
        <f t="shared" si="3"/>
        <v>-429</v>
      </c>
    </row>
    <row r="64" spans="2:46" x14ac:dyDescent="0.25">
      <c r="C64" s="95"/>
      <c r="D64" s="96"/>
      <c r="E64" s="325"/>
      <c r="F64" s="326"/>
      <c r="G64" s="325"/>
      <c r="H64" s="326"/>
      <c r="I64" s="325"/>
      <c r="J64" s="470"/>
      <c r="K64" s="470"/>
      <c r="L64" s="470"/>
      <c r="M64" s="470"/>
      <c r="N64" s="470"/>
      <c r="O64" s="470"/>
      <c r="P64" s="97"/>
      <c r="Q64" s="98"/>
      <c r="R64" s="97"/>
      <c r="S64" s="98"/>
      <c r="T64" s="97"/>
      <c r="U64" s="253"/>
      <c r="V64" s="228"/>
      <c r="W64" s="253"/>
      <c r="X64" s="228"/>
      <c r="Y64" s="253"/>
      <c r="Z64" s="228"/>
      <c r="AA64" s="253"/>
      <c r="AB64" s="228"/>
      <c r="AC64" s="253"/>
      <c r="AD64" s="395"/>
      <c r="AE64" s="253"/>
      <c r="AF64" s="228"/>
      <c r="AG64" s="422"/>
      <c r="AH64" s="228"/>
      <c r="AI64" s="422"/>
      <c r="AJ64" s="228"/>
      <c r="AK64" s="422"/>
      <c r="AL64" s="422"/>
      <c r="AM64" s="228"/>
      <c r="AN64" s="228"/>
      <c r="AO64" s="228"/>
      <c r="AP64" s="99" t="str">
        <f t="shared" si="2"/>
        <v xml:space="preserve"> </v>
      </c>
      <c r="AQ64" s="100"/>
      <c r="AR64" s="2"/>
      <c r="AS64" s="511"/>
      <c r="AT64" s="511">
        <f t="shared" si="3"/>
        <v>0</v>
      </c>
    </row>
    <row r="65" spans="2:46" x14ac:dyDescent="0.25">
      <c r="C65" s="95">
        <v>6</v>
      </c>
      <c r="D65" s="96" t="s">
        <v>66</v>
      </c>
      <c r="E65" s="325"/>
      <c r="F65" s="326"/>
      <c r="G65" s="325"/>
      <c r="H65" s="326"/>
      <c r="I65" s="325"/>
      <c r="J65" s="470">
        <v>11249</v>
      </c>
      <c r="K65" s="470">
        <v>0</v>
      </c>
      <c r="L65" s="470"/>
      <c r="M65" s="470"/>
      <c r="N65" s="470"/>
      <c r="O65" s="470"/>
      <c r="P65" s="97"/>
      <c r="Q65" s="98"/>
      <c r="R65" s="97"/>
      <c r="S65" s="98"/>
      <c r="T65" s="97"/>
      <c r="U65" s="253"/>
      <c r="V65" s="228"/>
      <c r="W65" s="253"/>
      <c r="X65" s="228"/>
      <c r="Y65" s="253"/>
      <c r="Z65" s="228"/>
      <c r="AA65" s="253"/>
      <c r="AB65" s="228"/>
      <c r="AC65" s="253"/>
      <c r="AD65" s="395"/>
      <c r="AE65" s="253"/>
      <c r="AF65" s="228"/>
      <c r="AG65" s="422"/>
      <c r="AH65" s="228"/>
      <c r="AI65" s="422"/>
      <c r="AJ65" s="228"/>
      <c r="AK65" s="422"/>
      <c r="AL65" s="422"/>
      <c r="AM65" s="228"/>
      <c r="AN65" s="228"/>
      <c r="AO65" s="228"/>
      <c r="AP65" s="99" t="str">
        <f t="shared" si="2"/>
        <v xml:space="preserve"> </v>
      </c>
      <c r="AQ65" s="100"/>
      <c r="AR65" s="2"/>
      <c r="AS65" s="511"/>
      <c r="AT65" s="511">
        <f t="shared" si="3"/>
        <v>0</v>
      </c>
    </row>
    <row r="66" spans="2:46" ht="13.8" thickBot="1" x14ac:dyDescent="0.3">
      <c r="B66" s="1">
        <v>3</v>
      </c>
      <c r="C66" s="101">
        <v>7</v>
      </c>
      <c r="D66" s="102" t="s">
        <v>71</v>
      </c>
      <c r="E66" s="327"/>
      <c r="F66" s="328"/>
      <c r="G66" s="327"/>
      <c r="H66" s="328"/>
      <c r="I66" s="327"/>
      <c r="J66" s="471"/>
      <c r="K66" s="471">
        <v>16053</v>
      </c>
      <c r="L66" s="471">
        <v>26330</v>
      </c>
      <c r="M66" s="471">
        <f>28400-1071</f>
        <v>27329</v>
      </c>
      <c r="N66" s="471">
        <f>30135+200</f>
        <v>30335</v>
      </c>
      <c r="O66" s="471">
        <v>26345</v>
      </c>
      <c r="P66" s="103">
        <v>27375</v>
      </c>
      <c r="Q66" s="104">
        <f>30013+227</f>
        <v>30240</v>
      </c>
      <c r="R66" s="103">
        <v>30591</v>
      </c>
      <c r="S66" s="104">
        <v>30193</v>
      </c>
      <c r="T66" s="103">
        <v>31765</v>
      </c>
      <c r="U66" s="254">
        <v>35200</v>
      </c>
      <c r="V66" s="229">
        <v>32309</v>
      </c>
      <c r="W66" s="254">
        <v>34940</v>
      </c>
      <c r="X66" s="229">
        <v>36327</v>
      </c>
      <c r="Y66" s="254">
        <v>35250</v>
      </c>
      <c r="Z66" s="229">
        <v>34845</v>
      </c>
      <c r="AA66" s="254">
        <f>35500-200</f>
        <v>35300</v>
      </c>
      <c r="AB66" s="229">
        <v>37229</v>
      </c>
      <c r="AC66" s="254">
        <f>36100-100</f>
        <v>36000</v>
      </c>
      <c r="AD66" s="396">
        <v>39028</v>
      </c>
      <c r="AE66" s="254">
        <v>36400</v>
      </c>
      <c r="AF66" s="229">
        <v>35730</v>
      </c>
      <c r="AG66" s="423">
        <v>39000</v>
      </c>
      <c r="AH66" s="229">
        <v>36687</v>
      </c>
      <c r="AI66" s="423">
        <v>40500</v>
      </c>
      <c r="AJ66" s="229">
        <v>35353</v>
      </c>
      <c r="AK66" s="423">
        <v>37500</v>
      </c>
      <c r="AL66" s="423">
        <f>40600-1050</f>
        <v>39550</v>
      </c>
      <c r="AM66" s="228">
        <v>42749</v>
      </c>
      <c r="AN66" s="229">
        <f>46600-3000</f>
        <v>43600</v>
      </c>
      <c r="AO66" s="229">
        <v>47000</v>
      </c>
      <c r="AP66" s="105">
        <f t="shared" si="2"/>
        <v>107.8</v>
      </c>
      <c r="AQ66" s="100"/>
      <c r="AR66" s="2"/>
      <c r="AS66" s="511">
        <v>40600</v>
      </c>
      <c r="AT66" s="511">
        <f t="shared" si="3"/>
        <v>3000</v>
      </c>
    </row>
    <row r="67" spans="2:46" ht="13.8" thickBot="1" x14ac:dyDescent="0.3">
      <c r="C67" s="88"/>
      <c r="D67" s="89" t="s">
        <v>25</v>
      </c>
      <c r="E67" s="329">
        <f>SUM(E59:E66)</f>
        <v>3644</v>
      </c>
      <c r="F67" s="330">
        <f>SUM(F59:F66)</f>
        <v>2509</v>
      </c>
      <c r="G67" s="329"/>
      <c r="H67" s="330">
        <f>SUM(H59:H66)</f>
        <v>4957</v>
      </c>
      <c r="I67" s="329"/>
      <c r="J67" s="472">
        <f t="shared" ref="J67:AO67" si="8">SUM(J59:J66)</f>
        <v>24722</v>
      </c>
      <c r="K67" s="472">
        <f t="shared" si="8"/>
        <v>34414</v>
      </c>
      <c r="L67" s="472">
        <f t="shared" si="8"/>
        <v>46301</v>
      </c>
      <c r="M67" s="472">
        <f t="shared" si="8"/>
        <v>49555</v>
      </c>
      <c r="N67" s="472">
        <f t="shared" si="8"/>
        <v>41674</v>
      </c>
      <c r="O67" s="472">
        <f t="shared" si="8"/>
        <v>49248</v>
      </c>
      <c r="P67" s="273">
        <f t="shared" si="8"/>
        <v>35377</v>
      </c>
      <c r="Q67" s="274">
        <f t="shared" si="8"/>
        <v>44161</v>
      </c>
      <c r="R67" s="273">
        <f t="shared" si="8"/>
        <v>36581</v>
      </c>
      <c r="S67" s="274">
        <f t="shared" si="8"/>
        <v>40746</v>
      </c>
      <c r="T67" s="275">
        <f t="shared" si="8"/>
        <v>36883</v>
      </c>
      <c r="U67" s="276">
        <f t="shared" si="8"/>
        <v>44472</v>
      </c>
      <c r="V67" s="275">
        <f t="shared" si="8"/>
        <v>38914</v>
      </c>
      <c r="W67" s="276">
        <f t="shared" si="8"/>
        <v>43739</v>
      </c>
      <c r="X67" s="275">
        <f t="shared" si="8"/>
        <v>48162</v>
      </c>
      <c r="Y67" s="276">
        <f t="shared" si="8"/>
        <v>50616</v>
      </c>
      <c r="Z67" s="275">
        <f t="shared" si="8"/>
        <v>39619</v>
      </c>
      <c r="AA67" s="276">
        <f t="shared" si="8"/>
        <v>42142</v>
      </c>
      <c r="AB67" s="275">
        <f t="shared" si="8"/>
        <v>42847</v>
      </c>
      <c r="AC67" s="276">
        <f t="shared" si="8"/>
        <v>42209</v>
      </c>
      <c r="AD67" s="275">
        <f t="shared" si="8"/>
        <v>44744</v>
      </c>
      <c r="AE67" s="276">
        <f t="shared" si="8"/>
        <v>43035</v>
      </c>
      <c r="AF67" s="275">
        <f t="shared" si="8"/>
        <v>40940</v>
      </c>
      <c r="AG67" s="275">
        <f t="shared" si="8"/>
        <v>44993</v>
      </c>
      <c r="AH67" s="275">
        <f t="shared" si="8"/>
        <v>43230</v>
      </c>
      <c r="AI67" s="424">
        <f t="shared" si="8"/>
        <v>46264</v>
      </c>
      <c r="AJ67" s="275">
        <f t="shared" ref="AJ67" si="9">SUM(AJ59:AJ66)</f>
        <v>40947</v>
      </c>
      <c r="AK67" s="424">
        <f t="shared" si="8"/>
        <v>43171</v>
      </c>
      <c r="AL67" s="424">
        <f t="shared" ref="AL67" si="10">SUM(AL59:AL66)</f>
        <v>45273</v>
      </c>
      <c r="AM67" s="275">
        <f t="shared" si="8"/>
        <v>47692</v>
      </c>
      <c r="AN67" s="275">
        <f t="shared" si="8"/>
        <v>48763</v>
      </c>
      <c r="AO67" s="275">
        <f t="shared" si="8"/>
        <v>52523</v>
      </c>
      <c r="AP67" s="277">
        <f t="shared" si="2"/>
        <v>107.7</v>
      </c>
      <c r="AQ67" s="100"/>
      <c r="AR67" s="2"/>
      <c r="AS67" s="511">
        <v>46323</v>
      </c>
      <c r="AT67" s="511">
        <f t="shared" si="3"/>
        <v>2440</v>
      </c>
    </row>
    <row r="68" spans="2:46" x14ac:dyDescent="0.25">
      <c r="C68" s="106"/>
      <c r="D68" s="107"/>
      <c r="E68" s="300"/>
      <c r="F68" s="301"/>
      <c r="G68" s="300"/>
      <c r="H68" s="301"/>
      <c r="I68" s="300"/>
      <c r="J68" s="458"/>
      <c r="K68" s="458"/>
      <c r="L68" s="458"/>
      <c r="M68" s="458"/>
      <c r="N68" s="458"/>
      <c r="O68" s="458"/>
      <c r="P68" s="44"/>
      <c r="Q68" s="45"/>
      <c r="R68" s="44"/>
      <c r="S68" s="45"/>
      <c r="T68" s="222"/>
      <c r="U68" s="247"/>
      <c r="V68" s="222"/>
      <c r="W68" s="247"/>
      <c r="X68" s="222"/>
      <c r="Y68" s="247"/>
      <c r="Z68" s="222"/>
      <c r="AA68" s="247"/>
      <c r="AB68" s="222"/>
      <c r="AC68" s="247"/>
      <c r="AD68" s="387"/>
      <c r="AE68" s="247"/>
      <c r="AF68" s="222"/>
      <c r="AG68" s="412"/>
      <c r="AH68" s="222"/>
      <c r="AI68" s="412"/>
      <c r="AJ68" s="222"/>
      <c r="AK68" s="412"/>
      <c r="AL68" s="412"/>
      <c r="AM68" s="222"/>
      <c r="AN68" s="222"/>
      <c r="AO68" s="222"/>
      <c r="AP68" s="46" t="str">
        <f t="shared" si="2"/>
        <v xml:space="preserve"> </v>
      </c>
      <c r="AQ68" s="100"/>
      <c r="AR68" s="2"/>
      <c r="AS68" s="511"/>
      <c r="AT68" s="511">
        <f t="shared" si="3"/>
        <v>0</v>
      </c>
    </row>
    <row r="69" spans="2:46" ht="31.8" thickBot="1" x14ac:dyDescent="0.35">
      <c r="C69" s="108"/>
      <c r="D69" s="109" t="s">
        <v>57</v>
      </c>
      <c r="E69" s="331">
        <f>SUM(E67,E56)</f>
        <v>3962</v>
      </c>
      <c r="F69" s="332">
        <f>SUM(F67,F56)</f>
        <v>3035</v>
      </c>
      <c r="G69" s="331"/>
      <c r="H69" s="332">
        <f>SUM(H67,H56)</f>
        <v>5473</v>
      </c>
      <c r="I69" s="331"/>
      <c r="J69" s="473">
        <f t="shared" ref="J69:R69" si="11">SUM(J67,J56)</f>
        <v>25251</v>
      </c>
      <c r="K69" s="473">
        <f t="shared" si="11"/>
        <v>34940</v>
      </c>
      <c r="L69" s="473">
        <f t="shared" si="11"/>
        <v>46692</v>
      </c>
      <c r="M69" s="473">
        <f t="shared" si="11"/>
        <v>50004</v>
      </c>
      <c r="N69" s="473">
        <f t="shared" si="11"/>
        <v>42023</v>
      </c>
      <c r="O69" s="473">
        <f>SUM(O67,O56)</f>
        <v>49463</v>
      </c>
      <c r="P69" s="110">
        <f>SUM(P67,P56)</f>
        <v>35499</v>
      </c>
      <c r="Q69" s="111">
        <f t="shared" si="11"/>
        <v>44317</v>
      </c>
      <c r="R69" s="110">
        <f t="shared" si="11"/>
        <v>36647</v>
      </c>
      <c r="S69" s="111">
        <f t="shared" ref="S69:AA69" si="12">SUM(S67,S56)</f>
        <v>40866</v>
      </c>
      <c r="T69" s="230">
        <f t="shared" si="12"/>
        <v>36939</v>
      </c>
      <c r="U69" s="255">
        <f t="shared" si="12"/>
        <v>44569</v>
      </c>
      <c r="V69" s="230">
        <f t="shared" si="12"/>
        <v>39006</v>
      </c>
      <c r="W69" s="255">
        <f t="shared" si="12"/>
        <v>43871</v>
      </c>
      <c r="X69" s="230">
        <f>SUM(X67,X56)</f>
        <v>48222</v>
      </c>
      <c r="Y69" s="255">
        <f t="shared" si="12"/>
        <v>50690</v>
      </c>
      <c r="Z69" s="230">
        <f>SUM(Z67,Z56)</f>
        <v>39686</v>
      </c>
      <c r="AA69" s="255">
        <f t="shared" si="12"/>
        <v>42235</v>
      </c>
      <c r="AB69" s="230">
        <f t="shared" ref="AB69:AJ69" si="13">SUM(AB67,AB56)</f>
        <v>42905</v>
      </c>
      <c r="AC69" s="255">
        <f t="shared" si="13"/>
        <v>42304</v>
      </c>
      <c r="AD69" s="230">
        <f t="shared" si="13"/>
        <v>44786</v>
      </c>
      <c r="AE69" s="255">
        <f t="shared" si="13"/>
        <v>43120</v>
      </c>
      <c r="AF69" s="230">
        <f t="shared" ref="AF69:AH69" si="14">SUM(AF67,AF56)</f>
        <v>40985</v>
      </c>
      <c r="AG69" s="230">
        <f t="shared" si="14"/>
        <v>45086</v>
      </c>
      <c r="AH69" s="230">
        <f t="shared" si="14"/>
        <v>43273</v>
      </c>
      <c r="AI69" s="425">
        <f t="shared" si="13"/>
        <v>46341</v>
      </c>
      <c r="AJ69" s="230">
        <f t="shared" si="13"/>
        <v>41002</v>
      </c>
      <c r="AK69" s="425">
        <f t="shared" ref="AK69:AO69" si="15">SUM(AK67,AK56)</f>
        <v>43248</v>
      </c>
      <c r="AL69" s="425">
        <f t="shared" ref="AL69" si="16">SUM(AL67,AL56)</f>
        <v>45348</v>
      </c>
      <c r="AM69" s="230">
        <f t="shared" si="15"/>
        <v>47734</v>
      </c>
      <c r="AN69" s="230">
        <f t="shared" si="15"/>
        <v>48838</v>
      </c>
      <c r="AO69" s="230">
        <f t="shared" si="15"/>
        <v>52598</v>
      </c>
      <c r="AP69" s="122">
        <f t="shared" si="2"/>
        <v>107.7</v>
      </c>
      <c r="AQ69" s="112"/>
      <c r="AR69" s="2"/>
      <c r="AS69" s="511">
        <v>46398</v>
      </c>
      <c r="AT69" s="511">
        <f t="shared" si="3"/>
        <v>2440</v>
      </c>
    </row>
    <row r="70" spans="2:46" ht="14.4" thickTop="1" thickBot="1" x14ac:dyDescent="0.3">
      <c r="C70" s="113"/>
      <c r="D70" s="114"/>
      <c r="E70" s="333"/>
      <c r="F70" s="334"/>
      <c r="G70" s="333"/>
      <c r="H70" s="334"/>
      <c r="I70" s="333"/>
      <c r="J70" s="474"/>
      <c r="K70" s="474"/>
      <c r="L70" s="474"/>
      <c r="M70" s="474"/>
      <c r="N70" s="474"/>
      <c r="O70" s="474"/>
      <c r="P70" s="115"/>
      <c r="Q70" s="116"/>
      <c r="R70" s="115"/>
      <c r="S70" s="116"/>
      <c r="T70" s="231"/>
      <c r="U70" s="256"/>
      <c r="V70" s="231"/>
      <c r="W70" s="256"/>
      <c r="X70" s="231"/>
      <c r="Y70" s="256"/>
      <c r="Z70" s="231"/>
      <c r="AA70" s="256"/>
      <c r="AB70" s="231"/>
      <c r="AC70" s="256"/>
      <c r="AD70" s="231"/>
      <c r="AE70" s="256"/>
      <c r="AF70" s="231"/>
      <c r="AG70" s="231"/>
      <c r="AH70" s="231"/>
      <c r="AI70" s="426"/>
      <c r="AJ70" s="231"/>
      <c r="AK70" s="426"/>
      <c r="AL70" s="426"/>
      <c r="AM70" s="231"/>
      <c r="AN70" s="231"/>
      <c r="AO70" s="231"/>
      <c r="AP70" s="117" t="str">
        <f t="shared" si="2"/>
        <v xml:space="preserve"> </v>
      </c>
      <c r="AQ70" s="51"/>
      <c r="AR70" s="2"/>
      <c r="AS70" s="511"/>
      <c r="AT70" s="511">
        <f t="shared" si="3"/>
        <v>0</v>
      </c>
    </row>
    <row r="71" spans="2:46" ht="20.25" customHeight="1" thickBot="1" x14ac:dyDescent="0.35">
      <c r="C71" s="118"/>
      <c r="D71" s="119" t="s">
        <v>29</v>
      </c>
      <c r="E71" s="335">
        <f>SUM(E69,E47)</f>
        <v>335899</v>
      </c>
      <c r="F71" s="336">
        <f>SUM(F69,F47)</f>
        <v>354541</v>
      </c>
      <c r="G71" s="335"/>
      <c r="H71" s="336">
        <f>SUM(H69,H47)</f>
        <v>382501</v>
      </c>
      <c r="I71" s="335"/>
      <c r="J71" s="475">
        <f t="shared" ref="J71:R71" si="17">SUM(J69,J47)</f>
        <v>426594</v>
      </c>
      <c r="K71" s="475">
        <f t="shared" si="17"/>
        <v>453192</v>
      </c>
      <c r="L71" s="475">
        <f t="shared" si="17"/>
        <v>471742</v>
      </c>
      <c r="M71" s="475">
        <f t="shared" si="17"/>
        <v>481255</v>
      </c>
      <c r="N71" s="475">
        <f t="shared" si="17"/>
        <v>501950</v>
      </c>
      <c r="O71" s="475">
        <f>SUM(O69,O47)</f>
        <v>523194</v>
      </c>
      <c r="P71" s="120">
        <f>SUM(P69,P47)</f>
        <v>554470</v>
      </c>
      <c r="Q71" s="121">
        <f t="shared" si="17"/>
        <v>569789</v>
      </c>
      <c r="R71" s="120">
        <f t="shared" si="17"/>
        <v>581802</v>
      </c>
      <c r="S71" s="121">
        <f t="shared" ref="S71:AA71" si="18">SUM(S69,S47)</f>
        <v>581440</v>
      </c>
      <c r="T71" s="214">
        <f t="shared" si="18"/>
        <v>621981</v>
      </c>
      <c r="U71" s="242">
        <f t="shared" si="18"/>
        <v>616936</v>
      </c>
      <c r="V71" s="214">
        <f t="shared" si="18"/>
        <v>628108</v>
      </c>
      <c r="W71" s="242">
        <f t="shared" si="18"/>
        <v>652836</v>
      </c>
      <c r="X71" s="214">
        <f>SUM(X69,X47)</f>
        <v>661517</v>
      </c>
      <c r="Y71" s="242">
        <f t="shared" si="18"/>
        <v>679634</v>
      </c>
      <c r="Z71" s="214">
        <f>SUM(Z69,Z47)</f>
        <v>665085</v>
      </c>
      <c r="AA71" s="242">
        <f t="shared" si="18"/>
        <v>690799</v>
      </c>
      <c r="AB71" s="214">
        <f t="shared" ref="AB71:AJ71" si="19">SUM(AB69,AB47)</f>
        <v>682947</v>
      </c>
      <c r="AC71" s="242">
        <f t="shared" si="19"/>
        <v>683615</v>
      </c>
      <c r="AD71" s="214">
        <f t="shared" si="19"/>
        <v>699820</v>
      </c>
      <c r="AE71" s="242">
        <f t="shared" si="19"/>
        <v>703741</v>
      </c>
      <c r="AF71" s="214">
        <f t="shared" ref="AF71:AH71" si="20">SUM(AF69,AF47)</f>
        <v>703436</v>
      </c>
      <c r="AG71" s="214">
        <f t="shared" si="20"/>
        <v>712909</v>
      </c>
      <c r="AH71" s="214">
        <f t="shared" si="20"/>
        <v>710323</v>
      </c>
      <c r="AI71" s="427">
        <f t="shared" si="19"/>
        <v>708458</v>
      </c>
      <c r="AJ71" s="214">
        <f t="shared" si="19"/>
        <v>730027</v>
      </c>
      <c r="AK71" s="427">
        <f t="shared" ref="AK71:AO71" si="21">SUM(AK69,AK47)</f>
        <v>724525</v>
      </c>
      <c r="AL71" s="427">
        <f t="shared" ref="AL71" si="22">SUM(AL69,AL47)</f>
        <v>782108</v>
      </c>
      <c r="AM71" s="214">
        <f t="shared" si="21"/>
        <v>770907.4</v>
      </c>
      <c r="AN71" s="214">
        <f t="shared" si="21"/>
        <v>825015</v>
      </c>
      <c r="AO71" s="214">
        <f t="shared" si="21"/>
        <v>883123</v>
      </c>
      <c r="AP71" s="122">
        <f t="shared" si="2"/>
        <v>107</v>
      </c>
      <c r="AQ71" s="83"/>
      <c r="AR71" s="2"/>
      <c r="AS71" s="511">
        <v>756353</v>
      </c>
      <c r="AT71" s="511">
        <f t="shared" si="3"/>
        <v>68662</v>
      </c>
    </row>
    <row r="72" spans="2:46" ht="13.8" thickTop="1" x14ac:dyDescent="0.25">
      <c r="D72" s="123"/>
      <c r="E72" s="337"/>
      <c r="F72" s="337"/>
      <c r="G72" s="337"/>
      <c r="H72" s="337"/>
      <c r="I72" s="337"/>
      <c r="J72" s="476"/>
      <c r="K72" s="476"/>
      <c r="L72" s="476"/>
      <c r="M72" s="476"/>
      <c r="N72" s="476"/>
      <c r="O72" s="476"/>
      <c r="P72" s="124"/>
      <c r="Q72" s="124"/>
      <c r="R72" s="124"/>
      <c r="S72" s="216"/>
      <c r="T72" s="124"/>
      <c r="U72" s="124"/>
      <c r="V72" s="124"/>
      <c r="W72" s="124"/>
      <c r="X72" s="124"/>
      <c r="Y72" s="124"/>
      <c r="Z72" s="124"/>
      <c r="AA72" s="201"/>
      <c r="AB72" s="124"/>
      <c r="AC72" s="124"/>
      <c r="AD72" s="397"/>
      <c r="AE72" s="124"/>
      <c r="AF72" s="124"/>
      <c r="AG72" s="428"/>
      <c r="AH72" s="124"/>
      <c r="AI72" s="124"/>
      <c r="AJ72" s="124"/>
      <c r="AK72" s="428"/>
      <c r="AL72" s="428"/>
      <c r="AM72" s="124"/>
      <c r="AN72" s="124"/>
      <c r="AO72" s="124"/>
      <c r="AP72" s="124"/>
      <c r="AQ72" s="125"/>
    </row>
    <row r="73" spans="2:46" x14ac:dyDescent="0.25">
      <c r="D73" s="127" t="s">
        <v>30</v>
      </c>
      <c r="E73" s="338"/>
      <c r="F73" s="339"/>
      <c r="G73" s="338"/>
      <c r="H73" s="338"/>
      <c r="I73" s="338"/>
      <c r="J73" s="477"/>
      <c r="K73" s="477"/>
      <c r="L73" s="477"/>
      <c r="M73" s="477"/>
      <c r="N73" s="477"/>
      <c r="O73" s="477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202"/>
      <c r="AB73" s="126"/>
      <c r="AC73" s="126"/>
      <c r="AD73" s="398"/>
      <c r="AE73" s="126"/>
      <c r="AF73" s="126"/>
      <c r="AG73" s="429"/>
      <c r="AH73" s="126"/>
      <c r="AI73" s="126"/>
      <c r="AJ73" s="126"/>
      <c r="AK73" s="429"/>
      <c r="AL73" s="429"/>
      <c r="AM73" s="126"/>
      <c r="AN73" s="126"/>
      <c r="AO73" s="126"/>
      <c r="AP73" s="126"/>
      <c r="AQ73" s="127"/>
    </row>
    <row r="74" spans="2:46" x14ac:dyDescent="0.25">
      <c r="D74" s="127" t="s">
        <v>76</v>
      </c>
      <c r="E74" s="338"/>
      <c r="F74" s="338"/>
      <c r="G74" s="338"/>
      <c r="H74" s="338"/>
      <c r="I74" s="338"/>
      <c r="J74" s="477"/>
      <c r="K74" s="477"/>
      <c r="L74" s="477"/>
      <c r="M74" s="477"/>
      <c r="N74" s="477"/>
      <c r="O74" s="477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202"/>
      <c r="AB74" s="126"/>
      <c r="AC74" s="126"/>
      <c r="AD74" s="398"/>
      <c r="AE74" s="126"/>
      <c r="AF74" s="126"/>
      <c r="AG74" s="429"/>
      <c r="AH74" s="126"/>
      <c r="AI74" s="126"/>
      <c r="AJ74" s="126"/>
      <c r="AK74" s="429"/>
      <c r="AL74" s="429"/>
      <c r="AM74" s="126"/>
      <c r="AN74" s="126"/>
      <c r="AO74" s="126"/>
      <c r="AP74" s="126"/>
      <c r="AQ74" s="127"/>
    </row>
    <row r="75" spans="2:46" x14ac:dyDescent="0.25">
      <c r="D75" s="149" t="s">
        <v>43</v>
      </c>
      <c r="E75" s="338"/>
      <c r="F75" s="338"/>
      <c r="G75" s="338"/>
      <c r="H75" s="338"/>
      <c r="I75" s="338"/>
      <c r="J75" s="477"/>
      <c r="K75" s="477"/>
      <c r="L75" s="477"/>
      <c r="M75" s="477"/>
      <c r="N75" s="477"/>
      <c r="O75" s="477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202"/>
      <c r="AB75" s="126"/>
      <c r="AC75" s="126"/>
      <c r="AD75" s="398"/>
      <c r="AE75" s="126"/>
      <c r="AF75" s="126"/>
      <c r="AG75" s="429"/>
      <c r="AH75" s="126"/>
      <c r="AI75" s="126"/>
      <c r="AJ75" s="126"/>
      <c r="AK75" s="429"/>
      <c r="AL75" s="429"/>
      <c r="AM75" s="126"/>
      <c r="AN75" s="126"/>
      <c r="AO75" s="126"/>
      <c r="AP75" s="126"/>
      <c r="AQ75" s="127"/>
    </row>
    <row r="76" spans="2:46" x14ac:dyDescent="0.25">
      <c r="D76" s="149" t="s">
        <v>77</v>
      </c>
      <c r="E76" s="338"/>
      <c r="F76" s="338"/>
      <c r="G76" s="338"/>
      <c r="H76" s="338"/>
      <c r="I76" s="338"/>
      <c r="J76" s="477"/>
      <c r="K76" s="477"/>
      <c r="L76" s="477"/>
      <c r="M76" s="477"/>
      <c r="N76" s="477"/>
      <c r="O76" s="477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202"/>
      <c r="AB76" s="126"/>
      <c r="AC76" s="126"/>
      <c r="AD76" s="398"/>
      <c r="AE76" s="126"/>
      <c r="AF76" s="126"/>
      <c r="AG76" s="429"/>
      <c r="AH76" s="126"/>
      <c r="AI76" s="126"/>
      <c r="AJ76" s="126"/>
      <c r="AK76" s="429"/>
      <c r="AL76" s="429"/>
      <c r="AM76" s="126"/>
      <c r="AN76" s="126"/>
      <c r="AO76" s="126"/>
      <c r="AP76" s="126"/>
      <c r="AQ76" s="127"/>
      <c r="AR76" s="127"/>
    </row>
    <row r="77" spans="2:46" x14ac:dyDescent="0.25">
      <c r="D77" s="150" t="s">
        <v>78</v>
      </c>
      <c r="E77" s="338"/>
      <c r="F77" s="338"/>
      <c r="G77" s="338"/>
      <c r="H77" s="338"/>
      <c r="I77" s="338"/>
      <c r="J77" s="477"/>
      <c r="K77" s="477"/>
      <c r="L77" s="477"/>
      <c r="M77" s="477"/>
      <c r="N77" s="477"/>
      <c r="O77" s="477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202"/>
      <c r="AB77" s="126"/>
      <c r="AC77" s="126"/>
      <c r="AD77" s="398"/>
      <c r="AE77" s="126"/>
      <c r="AF77" s="126"/>
      <c r="AG77" s="429"/>
      <c r="AH77" s="126"/>
      <c r="AI77" s="126"/>
      <c r="AJ77" s="126"/>
      <c r="AK77" s="429"/>
      <c r="AL77" s="429"/>
      <c r="AM77" s="126"/>
      <c r="AN77" s="126"/>
      <c r="AO77" s="126"/>
      <c r="AP77" s="126"/>
      <c r="AQ77" s="127"/>
      <c r="AR77" s="127"/>
    </row>
    <row r="78" spans="2:46" x14ac:dyDescent="0.25">
      <c r="D78" s="150" t="s">
        <v>67</v>
      </c>
      <c r="E78" s="338"/>
      <c r="F78" s="338"/>
      <c r="G78" s="338"/>
      <c r="H78" s="338"/>
      <c r="I78" s="338"/>
      <c r="J78" s="477"/>
      <c r="K78" s="477"/>
      <c r="L78" s="477"/>
      <c r="M78" s="477"/>
      <c r="N78" s="477"/>
      <c r="O78" s="477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202"/>
      <c r="AB78" s="126"/>
      <c r="AC78" s="126"/>
      <c r="AD78" s="398"/>
      <c r="AE78" s="126"/>
      <c r="AF78" s="126"/>
      <c r="AG78" s="429"/>
      <c r="AH78" s="126"/>
      <c r="AI78" s="126"/>
      <c r="AJ78" s="126"/>
      <c r="AK78" s="429"/>
      <c r="AL78" s="429"/>
      <c r="AM78" s="126"/>
      <c r="AN78" s="126"/>
      <c r="AO78" s="126"/>
      <c r="AP78" s="126"/>
      <c r="AQ78" s="127"/>
      <c r="AR78" s="127"/>
    </row>
    <row r="79" spans="2:46" x14ac:dyDescent="0.25">
      <c r="D79" s="150" t="s">
        <v>95</v>
      </c>
      <c r="E79" s="338"/>
      <c r="F79" s="338"/>
      <c r="G79" s="338"/>
      <c r="H79" s="338"/>
      <c r="I79" s="338"/>
      <c r="J79" s="477"/>
      <c r="K79" s="477"/>
      <c r="L79" s="477"/>
      <c r="M79" s="477"/>
      <c r="N79" s="477"/>
      <c r="O79" s="477"/>
      <c r="P79" s="126"/>
      <c r="Q79" s="126"/>
      <c r="R79" s="126"/>
      <c r="S79" s="126"/>
      <c r="T79" s="126"/>
      <c r="U79" s="126"/>
      <c r="V79" s="126"/>
      <c r="W79" s="126"/>
      <c r="X79" s="126"/>
      <c r="Y79" s="126"/>
      <c r="Z79" s="126"/>
      <c r="AA79" s="202"/>
      <c r="AB79" s="126"/>
      <c r="AC79" s="126"/>
      <c r="AD79" s="398"/>
      <c r="AE79" s="126"/>
      <c r="AF79" s="126"/>
      <c r="AG79" s="429"/>
      <c r="AH79" s="126"/>
      <c r="AI79" s="126"/>
      <c r="AJ79" s="126"/>
      <c r="AK79" s="429"/>
      <c r="AL79" s="429"/>
      <c r="AM79" s="126"/>
      <c r="AN79" s="126"/>
      <c r="AO79" s="126"/>
      <c r="AP79" s="126"/>
      <c r="AQ79" s="127"/>
      <c r="AR79" s="127"/>
    </row>
    <row r="80" spans="2:46" x14ac:dyDescent="0.25">
      <c r="D80" s="150" t="s">
        <v>120</v>
      </c>
      <c r="E80" s="338"/>
      <c r="F80" s="338"/>
      <c r="G80" s="338"/>
      <c r="H80" s="338"/>
      <c r="I80" s="338"/>
      <c r="J80" s="477"/>
      <c r="K80" s="477"/>
      <c r="L80" s="477"/>
      <c r="M80" s="477"/>
      <c r="N80" s="477"/>
      <c r="O80" s="477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202"/>
      <c r="AB80" s="126"/>
      <c r="AC80" s="126"/>
      <c r="AD80" s="398"/>
      <c r="AE80" s="126"/>
      <c r="AF80" s="126"/>
      <c r="AG80" s="429"/>
      <c r="AH80" s="126"/>
      <c r="AI80" s="126"/>
      <c r="AJ80" s="126"/>
      <c r="AK80" s="429"/>
      <c r="AL80" s="429"/>
      <c r="AM80" s="126"/>
      <c r="AN80" s="126"/>
      <c r="AO80" s="126"/>
      <c r="AP80" s="126"/>
      <c r="AQ80" s="127"/>
      <c r="AR80" s="127"/>
    </row>
    <row r="81" spans="4:44" x14ac:dyDescent="0.25">
      <c r="D81" s="150" t="s">
        <v>121</v>
      </c>
      <c r="E81" s="338"/>
      <c r="F81" s="338"/>
      <c r="G81" s="338"/>
      <c r="H81" s="338"/>
      <c r="I81" s="338"/>
      <c r="J81" s="477"/>
      <c r="K81" s="477"/>
      <c r="L81" s="477"/>
      <c r="M81" s="477"/>
      <c r="N81" s="477"/>
      <c r="O81" s="477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202"/>
      <c r="AB81" s="126"/>
      <c r="AC81" s="126"/>
      <c r="AD81" s="398"/>
      <c r="AE81" s="126"/>
      <c r="AF81" s="126"/>
      <c r="AG81" s="429"/>
      <c r="AH81" s="126"/>
      <c r="AI81" s="126"/>
      <c r="AJ81" s="126"/>
      <c r="AK81" s="429"/>
      <c r="AL81" s="429"/>
      <c r="AM81" s="126"/>
      <c r="AN81" s="126"/>
      <c r="AO81" s="126"/>
      <c r="AP81" s="126"/>
      <c r="AQ81" s="127"/>
      <c r="AR81" s="127"/>
    </row>
    <row r="82" spans="4:44" x14ac:dyDescent="0.25">
      <c r="D82" s="150" t="s">
        <v>100</v>
      </c>
      <c r="E82" s="338"/>
      <c r="F82" s="338"/>
      <c r="G82" s="338"/>
      <c r="H82" s="338"/>
      <c r="I82" s="338"/>
      <c r="J82" s="477"/>
      <c r="K82" s="477"/>
      <c r="L82" s="477"/>
      <c r="M82" s="477"/>
      <c r="N82" s="477"/>
      <c r="O82" s="477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202"/>
      <c r="AB82" s="126"/>
      <c r="AC82" s="126"/>
      <c r="AD82" s="398"/>
      <c r="AE82" s="126"/>
      <c r="AF82" s="126"/>
      <c r="AG82" s="429"/>
      <c r="AH82" s="126"/>
      <c r="AI82" s="126"/>
      <c r="AJ82" s="126"/>
      <c r="AK82" s="429"/>
      <c r="AL82" s="429"/>
      <c r="AM82" s="126"/>
      <c r="AN82" s="126"/>
      <c r="AO82" s="126"/>
      <c r="AP82" s="126"/>
      <c r="AQ82" s="127"/>
      <c r="AR82" s="127"/>
    </row>
    <row r="83" spans="4:44" ht="12.75" hidden="1" customHeight="1" x14ac:dyDescent="0.25">
      <c r="D83" s="380" t="s">
        <v>104</v>
      </c>
      <c r="E83" s="338"/>
      <c r="F83" s="338"/>
      <c r="G83" s="338"/>
      <c r="H83" s="338"/>
      <c r="I83" s="338"/>
      <c r="J83" s="477"/>
      <c r="K83" s="477"/>
      <c r="L83" s="477"/>
      <c r="M83" s="477"/>
      <c r="N83" s="477"/>
      <c r="O83" s="477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202"/>
      <c r="AB83" s="126"/>
      <c r="AC83" s="126"/>
      <c r="AD83" s="398"/>
      <c r="AE83" s="126"/>
      <c r="AF83" s="126"/>
      <c r="AG83" s="429"/>
      <c r="AH83" s="126"/>
      <c r="AI83" s="126"/>
      <c r="AJ83" s="126"/>
      <c r="AK83" s="429"/>
      <c r="AL83" s="429"/>
      <c r="AM83" s="126"/>
      <c r="AN83" s="126"/>
      <c r="AO83" s="126"/>
      <c r="AP83" s="126"/>
      <c r="AQ83" s="127"/>
      <c r="AR83" s="127"/>
    </row>
    <row r="84" spans="4:44" ht="51.6" x14ac:dyDescent="0.25">
      <c r="D84" s="520" t="s">
        <v>127</v>
      </c>
      <c r="E84" s="338"/>
      <c r="F84" s="338"/>
      <c r="G84" s="338"/>
      <c r="H84" s="338"/>
      <c r="I84" s="338"/>
      <c r="J84" s="477"/>
      <c r="K84" s="477"/>
      <c r="L84" s="477"/>
      <c r="M84" s="477"/>
      <c r="N84" s="477"/>
      <c r="O84" s="477"/>
      <c r="P84" s="126"/>
      <c r="Q84" s="126"/>
      <c r="R84" s="126"/>
      <c r="S84" s="126"/>
      <c r="T84" s="126"/>
      <c r="U84" s="126"/>
      <c r="V84" s="126"/>
      <c r="W84" s="126"/>
      <c r="X84" s="126"/>
      <c r="Y84" s="126"/>
      <c r="Z84" s="126"/>
      <c r="AA84" s="202"/>
      <c r="AB84" s="126"/>
      <c r="AC84" s="126"/>
      <c r="AD84" s="398"/>
      <c r="AE84" s="126"/>
      <c r="AF84" s="126"/>
      <c r="AG84" s="429"/>
      <c r="AH84" s="126"/>
      <c r="AI84" s="126"/>
      <c r="AJ84" s="126"/>
      <c r="AK84" s="429"/>
      <c r="AL84" s="429"/>
      <c r="AM84" s="126"/>
      <c r="AN84" s="126"/>
      <c r="AO84" s="126"/>
      <c r="AP84" s="126"/>
      <c r="AQ84" s="127"/>
      <c r="AR84" s="127"/>
    </row>
    <row r="85" spans="4:44" x14ac:dyDescent="0.25">
      <c r="D85" s="150" t="s">
        <v>110</v>
      </c>
      <c r="E85" s="338"/>
      <c r="F85" s="338"/>
      <c r="G85" s="338"/>
      <c r="H85" s="338"/>
      <c r="I85" s="338"/>
      <c r="J85" s="477"/>
      <c r="K85" s="477"/>
      <c r="L85" s="477"/>
      <c r="M85" s="477"/>
      <c r="N85" s="477"/>
      <c r="O85" s="477"/>
      <c r="P85" s="126"/>
      <c r="Q85" s="126"/>
      <c r="R85" s="126"/>
      <c r="S85" s="126"/>
      <c r="T85" s="126"/>
      <c r="U85" s="126"/>
      <c r="V85" s="126"/>
      <c r="W85" s="126"/>
      <c r="X85" s="126"/>
      <c r="Y85" s="126"/>
      <c r="Z85" s="126"/>
      <c r="AA85" s="202"/>
      <c r="AB85" s="126"/>
      <c r="AC85" s="126"/>
      <c r="AD85" s="398"/>
      <c r="AE85" s="126"/>
      <c r="AF85" s="126"/>
      <c r="AG85" s="429"/>
      <c r="AH85" s="126"/>
      <c r="AI85" s="126"/>
      <c r="AJ85" s="126"/>
      <c r="AK85" s="429"/>
      <c r="AL85" s="429"/>
      <c r="AM85" s="126"/>
      <c r="AN85" s="126"/>
      <c r="AO85" s="126"/>
      <c r="AP85" s="126"/>
      <c r="AQ85" s="127"/>
      <c r="AR85" s="127"/>
    </row>
    <row r="86" spans="4:44" x14ac:dyDescent="0.25">
      <c r="D86" s="150" t="s">
        <v>117</v>
      </c>
      <c r="E86" s="338"/>
      <c r="F86" s="338"/>
      <c r="G86" s="338"/>
      <c r="H86" s="338"/>
      <c r="I86" s="338"/>
      <c r="J86" s="477"/>
      <c r="K86" s="477"/>
      <c r="L86" s="477"/>
      <c r="M86" s="477"/>
      <c r="N86" s="477"/>
      <c r="O86" s="477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202"/>
      <c r="AB86" s="126"/>
      <c r="AC86" s="126"/>
      <c r="AD86" s="398"/>
      <c r="AE86" s="126"/>
      <c r="AF86" s="126"/>
      <c r="AG86" s="429"/>
      <c r="AH86" s="126"/>
      <c r="AI86" s="126"/>
      <c r="AJ86" s="126"/>
      <c r="AK86" s="429"/>
      <c r="AL86" s="429"/>
      <c r="AM86" s="126"/>
      <c r="AN86" s="126"/>
      <c r="AO86" s="126"/>
      <c r="AP86" s="126"/>
      <c r="AQ86" s="127"/>
      <c r="AR86" s="127"/>
    </row>
    <row r="87" spans="4:44" x14ac:dyDescent="0.25">
      <c r="D87" s="150"/>
      <c r="E87" s="338"/>
      <c r="F87" s="338"/>
      <c r="G87" s="338"/>
      <c r="H87" s="338"/>
      <c r="I87" s="338"/>
      <c r="J87" s="477"/>
      <c r="K87" s="477"/>
      <c r="L87" s="477"/>
      <c r="M87" s="477"/>
      <c r="N87" s="477"/>
      <c r="O87" s="477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202"/>
      <c r="AB87" s="126"/>
      <c r="AC87" s="126"/>
      <c r="AD87" s="398"/>
      <c r="AE87" s="126"/>
      <c r="AF87" s="126"/>
      <c r="AG87" s="429"/>
      <c r="AH87" s="126"/>
      <c r="AI87" s="126"/>
      <c r="AJ87" s="126"/>
      <c r="AK87" s="429"/>
      <c r="AL87" s="429"/>
      <c r="AM87" s="126"/>
      <c r="AN87" s="126"/>
      <c r="AO87" s="126"/>
      <c r="AP87" s="126"/>
      <c r="AQ87" s="127"/>
      <c r="AR87" s="127"/>
    </row>
    <row r="88" spans="4:44" x14ac:dyDescent="0.25">
      <c r="D88" s="128" t="s">
        <v>31</v>
      </c>
      <c r="E88" s="340"/>
      <c r="F88" s="340"/>
      <c r="G88" s="340"/>
      <c r="H88" s="340"/>
      <c r="I88" s="340"/>
      <c r="J88" s="478"/>
      <c r="K88" s="478"/>
      <c r="L88" s="478"/>
      <c r="M88" s="479"/>
      <c r="N88" s="479"/>
      <c r="O88" s="479"/>
      <c r="P88" s="23"/>
      <c r="Q88" s="23"/>
      <c r="R88" s="23"/>
      <c r="S88" s="19"/>
      <c r="T88" s="23"/>
      <c r="U88" s="23"/>
      <c r="V88" s="23"/>
      <c r="W88" s="23"/>
      <c r="X88" s="23"/>
      <c r="Y88" s="23"/>
      <c r="Z88" s="23"/>
      <c r="AA88" s="203"/>
      <c r="AB88" s="23"/>
      <c r="AC88" s="23"/>
      <c r="AD88" s="399"/>
      <c r="AE88" s="23"/>
      <c r="AF88" s="23"/>
      <c r="AG88" s="430"/>
      <c r="AH88" s="23"/>
      <c r="AI88" s="23"/>
      <c r="AJ88" s="23"/>
      <c r="AK88" s="430"/>
      <c r="AL88" s="430"/>
      <c r="AM88" s="23"/>
      <c r="AN88" s="23"/>
      <c r="AO88" s="23"/>
      <c r="AP88" s="23"/>
      <c r="AQ88" s="129"/>
    </row>
    <row r="89" spans="4:44" x14ac:dyDescent="0.25">
      <c r="D89" s="130" t="s">
        <v>79</v>
      </c>
      <c r="E89" s="341">
        <v>2189.1999999999998</v>
      </c>
      <c r="F89" s="342">
        <v>2352.1999999999998</v>
      </c>
      <c r="G89" s="343"/>
      <c r="H89" s="342">
        <v>2464.4</v>
      </c>
      <c r="I89" s="343"/>
      <c r="J89" s="480">
        <v>2577.1</v>
      </c>
      <c r="K89" s="480">
        <v>2814.8</v>
      </c>
      <c r="L89" s="481">
        <v>2984</v>
      </c>
      <c r="M89" s="481">
        <f>2884+36+3-16</f>
        <v>2907</v>
      </c>
      <c r="N89" s="481">
        <v>3202</v>
      </c>
      <c r="O89" s="481">
        <f>3353+154</f>
        <v>3507</v>
      </c>
      <c r="P89" s="243">
        <f>3663+169</f>
        <v>3832</v>
      </c>
      <c r="Q89" s="243">
        <f>3443*0+3516</f>
        <v>3516</v>
      </c>
      <c r="R89" s="243">
        <f>3848+167</f>
        <v>4015</v>
      </c>
      <c r="S89" s="243">
        <v>3827</v>
      </c>
      <c r="T89" s="243">
        <f>3759+163</f>
        <v>3922</v>
      </c>
      <c r="U89" s="204">
        <v>3634</v>
      </c>
      <c r="V89" s="243">
        <f>3791*0+3954</f>
        <v>3954</v>
      </c>
      <c r="W89" s="204">
        <v>3678</v>
      </c>
      <c r="X89" s="243">
        <f>4022+1</f>
        <v>4023</v>
      </c>
      <c r="Y89" s="243">
        <v>3729</v>
      </c>
      <c r="Z89" s="243">
        <f>4048-6+18</f>
        <v>4060</v>
      </c>
      <c r="AA89" s="243">
        <v>3820</v>
      </c>
      <c r="AB89" s="243">
        <f>4086-9+21</f>
        <v>4098</v>
      </c>
      <c r="AC89" s="243">
        <v>3822</v>
      </c>
      <c r="AD89" s="243">
        <v>4313.7889999999998</v>
      </c>
      <c r="AE89" s="243">
        <v>4061</v>
      </c>
      <c r="AF89" s="243">
        <v>4595.7830000000004</v>
      </c>
      <c r="AG89" s="431">
        <f>4216*0+4467+2</f>
        <v>4469</v>
      </c>
      <c r="AH89" s="243">
        <v>4767.99</v>
      </c>
      <c r="AI89" s="243">
        <f>4644+3+34</f>
        <v>4681</v>
      </c>
      <c r="AJ89" s="243">
        <v>5047.2669999999998</v>
      </c>
      <c r="AK89" s="431">
        <v>5040</v>
      </c>
      <c r="AL89" s="431">
        <v>5300</v>
      </c>
      <c r="AM89" s="243">
        <v>5328.7380000000003</v>
      </c>
      <c r="AN89" s="243">
        <v>5626.8039260750029</v>
      </c>
      <c r="AO89" s="243">
        <v>5880.4036712062798</v>
      </c>
      <c r="AP89" s="244"/>
      <c r="AQ89" s="132"/>
    </row>
    <row r="90" spans="4:44" x14ac:dyDescent="0.25">
      <c r="D90" s="66" t="s">
        <v>58</v>
      </c>
      <c r="E90" s="344">
        <f>E11/(E$89*1000)*100</f>
        <v>12.211401425178147</v>
      </c>
      <c r="F90" s="345">
        <f>F11/(F$89*1000)*100</f>
        <v>12.120100331604455</v>
      </c>
      <c r="G90" s="344"/>
      <c r="H90" s="346">
        <f>H11/(H$89*1000)*100</f>
        <v>12.385651679922091</v>
      </c>
      <c r="I90" s="344"/>
      <c r="J90" s="482">
        <f t="shared" ref="J90:AE90" si="23">J11/(J$89*1000)*100</f>
        <v>12.500097008265104</v>
      </c>
      <c r="K90" s="482">
        <f t="shared" si="23"/>
        <v>11.756927668040358</v>
      </c>
      <c r="L90" s="482">
        <f t="shared" si="23"/>
        <v>11.511461126005361</v>
      </c>
      <c r="M90" s="482">
        <f t="shared" si="23"/>
        <v>11.767595459236325</v>
      </c>
      <c r="N90" s="482">
        <f t="shared" si="23"/>
        <v>11.324109931292941</v>
      </c>
      <c r="O90" s="482">
        <f t="shared" si="23"/>
        <v>10.634559452523524</v>
      </c>
      <c r="P90" s="133">
        <f t="shared" si="23"/>
        <v>10.784003131524008</v>
      </c>
      <c r="Q90" s="133">
        <f t="shared" si="23"/>
        <v>11.842007963594995</v>
      </c>
      <c r="R90" s="133">
        <f t="shared" si="23"/>
        <v>10.690336239103363</v>
      </c>
      <c r="S90" s="133">
        <f t="shared" si="23"/>
        <v>11.025868826757252</v>
      </c>
      <c r="T90" s="133">
        <f t="shared" si="23"/>
        <v>11.699184089750128</v>
      </c>
      <c r="U90" s="205">
        <f t="shared" si="23"/>
        <v>12.362685745734728</v>
      </c>
      <c r="V90" s="133">
        <f t="shared" si="23"/>
        <v>11.669853313100658</v>
      </c>
      <c r="W90" s="205">
        <f t="shared" si="23"/>
        <v>12.594344752582925</v>
      </c>
      <c r="X90" s="278">
        <f t="shared" si="23"/>
        <v>11.791672880934625</v>
      </c>
      <c r="Y90" s="205">
        <f t="shared" si="23"/>
        <v>12.769106999195495</v>
      </c>
      <c r="Z90" s="278">
        <f t="shared" si="23"/>
        <v>11.971773399014779</v>
      </c>
      <c r="AA90" s="205">
        <f t="shared" si="23"/>
        <v>13.006570680628272</v>
      </c>
      <c r="AB90" s="133">
        <f>AB11/(AB$89*1000)*100</f>
        <v>12.082772083943388</v>
      </c>
      <c r="AC90" s="133">
        <f t="shared" si="23"/>
        <v>13.189063317634748</v>
      </c>
      <c r="AD90" s="133">
        <f>AD11/(AD$89*1000)*100</f>
        <v>11.639906356105968</v>
      </c>
      <c r="AE90" s="205">
        <f t="shared" si="23"/>
        <v>12.631913321841912</v>
      </c>
      <c r="AF90" s="133">
        <f t="shared" ref="AF90:AN90" si="24">AF11/(AF$89*1000)*100</f>
        <v>11.155531059669265</v>
      </c>
      <c r="AG90" s="432">
        <f t="shared" si="24"/>
        <v>11.612195121951221</v>
      </c>
      <c r="AH90" s="278">
        <f t="shared" si="24"/>
        <v>10.906629418266398</v>
      </c>
      <c r="AI90" s="278">
        <f t="shared" si="24"/>
        <v>11.171864986114079</v>
      </c>
      <c r="AJ90" s="278">
        <f t="shared" ref="AJ90" si="25">AJ11/(AJ$89*1000)*100</f>
        <v>10.648337010901148</v>
      </c>
      <c r="AK90" s="432">
        <f t="shared" si="24"/>
        <v>10.766289682539682</v>
      </c>
      <c r="AL90" s="432">
        <f t="shared" ref="AL90:AM90" si="26">AL11/(AL$89*1000)*100</f>
        <v>10.771415094339623</v>
      </c>
      <c r="AM90" s="278">
        <f t="shared" si="26"/>
        <v>10.609968063732914</v>
      </c>
      <c r="AN90" s="278">
        <f t="shared" si="24"/>
        <v>10.869598586255188</v>
      </c>
      <c r="AO90" s="278">
        <f t="shared" ref="AO90" si="27">AO11/(AO$89*1000)*100</f>
        <v>11.251285404770146</v>
      </c>
      <c r="AP90" s="134"/>
      <c r="AQ90" s="135"/>
    </row>
    <row r="91" spans="4:44" x14ac:dyDescent="0.25">
      <c r="D91" s="136" t="s">
        <v>32</v>
      </c>
      <c r="E91" s="347">
        <f>E47/(E$89*1000)*100</f>
        <v>15.162479444545953</v>
      </c>
      <c r="F91" s="348">
        <f>F47/(F$89*1000)*100</f>
        <v>14.94371226936485</v>
      </c>
      <c r="G91" s="347"/>
      <c r="H91" s="349">
        <f>H47/(H$89*1000)*100</f>
        <v>15.29897743872748</v>
      </c>
      <c r="I91" s="347"/>
      <c r="J91" s="483">
        <f t="shared" ref="J91:AE91" si="28">J47/(J$89*1000)*100</f>
        <v>15.573435256683871</v>
      </c>
      <c r="K91" s="483">
        <f t="shared" si="28"/>
        <v>14.859030837004406</v>
      </c>
      <c r="L91" s="483">
        <f t="shared" si="28"/>
        <v>14.244302949061662</v>
      </c>
      <c r="M91" s="483">
        <f t="shared" si="28"/>
        <v>14.834915720674235</v>
      </c>
      <c r="N91" s="483">
        <f t="shared" si="28"/>
        <v>14.36374141161774</v>
      </c>
      <c r="O91" s="483">
        <f t="shared" si="28"/>
        <v>13.508155118334757</v>
      </c>
      <c r="P91" s="137">
        <f t="shared" si="28"/>
        <v>13.543084551148226</v>
      </c>
      <c r="Q91" s="137">
        <f t="shared" si="28"/>
        <v>14.945164960182025</v>
      </c>
      <c r="R91" s="137">
        <f t="shared" si="28"/>
        <v>13.577957658779576</v>
      </c>
      <c r="S91" s="137">
        <f t="shared" si="28"/>
        <v>14.125267833812385</v>
      </c>
      <c r="T91" s="137">
        <f t="shared" si="28"/>
        <v>14.916930137684856</v>
      </c>
      <c r="U91" s="206">
        <f t="shared" si="28"/>
        <v>15.750330214639515</v>
      </c>
      <c r="V91" s="137">
        <f t="shared" si="28"/>
        <v>14.898887202832576</v>
      </c>
      <c r="W91" s="206">
        <f t="shared" si="28"/>
        <v>16.556960304513321</v>
      </c>
      <c r="X91" s="142">
        <f t="shared" si="28"/>
        <v>15.24471787223465</v>
      </c>
      <c r="Y91" s="206">
        <f t="shared" si="28"/>
        <v>16.866291230893001</v>
      </c>
      <c r="Z91" s="142">
        <f t="shared" si="28"/>
        <v>15.403916256157634</v>
      </c>
      <c r="AA91" s="206">
        <f t="shared" si="28"/>
        <v>16.978115183246071</v>
      </c>
      <c r="AB91" s="137">
        <f>AB47/(AB$89*1000)*100</f>
        <v>15.618399219131284</v>
      </c>
      <c r="AC91" s="137">
        <f t="shared" si="28"/>
        <v>16.779461015175301</v>
      </c>
      <c r="AD91" s="137">
        <f>AD47/(AD$89*1000)*100</f>
        <v>15.184655531366973</v>
      </c>
      <c r="AE91" s="206">
        <f t="shared" si="28"/>
        <v>16.267446441763113</v>
      </c>
      <c r="AF91" s="137">
        <f t="shared" ref="AF91:AN91" si="29">AF47/(AF$89*1000)*100</f>
        <v>14.414322869465334</v>
      </c>
      <c r="AG91" s="433">
        <f t="shared" si="29"/>
        <v>14.943454911613335</v>
      </c>
      <c r="AH91" s="142">
        <f t="shared" si="29"/>
        <v>13.990171959253269</v>
      </c>
      <c r="AI91" s="142">
        <f t="shared" si="29"/>
        <v>14.144776757103184</v>
      </c>
      <c r="AJ91" s="142">
        <f t="shared" ref="AJ91" si="30">AJ47/(AJ$89*1000)*100</f>
        <v>13.651447407081893</v>
      </c>
      <c r="AK91" s="433">
        <f t="shared" si="29"/>
        <v>13.517400793650793</v>
      </c>
      <c r="AL91" s="433">
        <f t="shared" ref="AL91:AM91" si="31">AL47/(AL$89*1000)*100</f>
        <v>13.901132075471697</v>
      </c>
      <c r="AM91" s="142">
        <f t="shared" si="31"/>
        <v>13.571194530487332</v>
      </c>
      <c r="AN91" s="142">
        <f t="shared" si="29"/>
        <v>13.794278425148981</v>
      </c>
      <c r="AO91" s="142">
        <f t="shared" ref="AO91" si="32">AO47/(AO$89*1000)*100</f>
        <v>14.123605222320219</v>
      </c>
      <c r="AP91" s="134"/>
      <c r="AQ91" s="135"/>
    </row>
    <row r="92" spans="4:44" x14ac:dyDescent="0.25">
      <c r="D92" s="136" t="s">
        <v>33</v>
      </c>
      <c r="E92" s="347">
        <f>E69/(E$89*1000)*100</f>
        <v>0.18097935318837932</v>
      </c>
      <c r="F92" s="348">
        <f>F69/(F$89*1000)*100</f>
        <v>0.12902814386531758</v>
      </c>
      <c r="G92" s="347"/>
      <c r="H92" s="349">
        <f>H69/(H$89*1000)*100</f>
        <v>0.22208245414705405</v>
      </c>
      <c r="I92" s="347"/>
      <c r="J92" s="483">
        <f t="shared" ref="J92:AE92" si="33">J69/(J$89*1000)*100</f>
        <v>0.97982228085832912</v>
      </c>
      <c r="K92" s="483">
        <f t="shared" si="33"/>
        <v>1.2412960068210885</v>
      </c>
      <c r="L92" s="483">
        <f t="shared" si="33"/>
        <v>1.5647453083109921</v>
      </c>
      <c r="M92" s="483">
        <f t="shared" si="33"/>
        <v>1.7201238390092879</v>
      </c>
      <c r="N92" s="483">
        <f t="shared" si="33"/>
        <v>1.3123985009369143</v>
      </c>
      <c r="O92" s="483">
        <f t="shared" si="33"/>
        <v>1.4104077559167381</v>
      </c>
      <c r="P92" s="137">
        <f t="shared" si="33"/>
        <v>0.92638308977035488</v>
      </c>
      <c r="Q92" s="137">
        <f t="shared" si="33"/>
        <v>1.2604379977246871</v>
      </c>
      <c r="R92" s="137">
        <f t="shared" si="33"/>
        <v>0.91275217932752173</v>
      </c>
      <c r="S92" s="137">
        <f t="shared" si="33"/>
        <v>1.0678338123856808</v>
      </c>
      <c r="T92" s="137">
        <f t="shared" si="33"/>
        <v>0.94184089750127487</v>
      </c>
      <c r="U92" s="206">
        <f t="shared" si="33"/>
        <v>1.2264446890478811</v>
      </c>
      <c r="V92" s="137">
        <f t="shared" si="33"/>
        <v>0.98649468892261005</v>
      </c>
      <c r="W92" s="206">
        <f t="shared" si="33"/>
        <v>1.1927949972811311</v>
      </c>
      <c r="X92" s="142">
        <f t="shared" si="33"/>
        <v>1.1986577181208053</v>
      </c>
      <c r="Y92" s="206">
        <f t="shared" si="33"/>
        <v>1.3593456690801824</v>
      </c>
      <c r="Z92" s="142">
        <f t="shared" si="33"/>
        <v>0.977487684729064</v>
      </c>
      <c r="AA92" s="206">
        <f t="shared" si="33"/>
        <v>1.1056282722513089</v>
      </c>
      <c r="AB92" s="137">
        <f>AB69/(AB$89*1000)*100</f>
        <v>1.0469741337237677</v>
      </c>
      <c r="AC92" s="137">
        <f t="shared" si="33"/>
        <v>1.1068550497121925</v>
      </c>
      <c r="AD92" s="137">
        <f>AD69/(AD$89*1000)*100</f>
        <v>1.0382056238726558</v>
      </c>
      <c r="AE92" s="206">
        <f t="shared" si="33"/>
        <v>1.0618074365919725</v>
      </c>
      <c r="AF92" s="137">
        <f t="shared" ref="AF92:AN92" si="34">AF69/(AF$89*1000)*100</f>
        <v>0.89179580498034827</v>
      </c>
      <c r="AG92" s="433">
        <f t="shared" si="34"/>
        <v>1.0088610427388678</v>
      </c>
      <c r="AH92" s="142">
        <f t="shared" si="34"/>
        <v>0.9075732121921396</v>
      </c>
      <c r="AI92" s="142">
        <f t="shared" si="34"/>
        <v>0.98998077333903012</v>
      </c>
      <c r="AJ92" s="142">
        <f t="shared" ref="AJ92" si="35">AJ69/(AJ$89*1000)*100</f>
        <v>0.81236043189314133</v>
      </c>
      <c r="AK92" s="433">
        <f t="shared" si="34"/>
        <v>0.85809523809523813</v>
      </c>
      <c r="AL92" s="433">
        <f t="shared" ref="AL92:AM92" si="36">AL69/(AL$89*1000)*100</f>
        <v>0.8556226415094339</v>
      </c>
      <c r="AM92" s="142">
        <f t="shared" si="36"/>
        <v>0.8957843301734858</v>
      </c>
      <c r="AN92" s="142">
        <f t="shared" si="34"/>
        <v>0.86795276042375114</v>
      </c>
      <c r="AO92" s="142">
        <f t="shared" ref="AO92" si="37">AO69/(AO$89*1000)*100</f>
        <v>0.89446240327937021</v>
      </c>
      <c r="AP92" s="134"/>
      <c r="AQ92" s="135"/>
    </row>
    <row r="93" spans="4:44" x14ac:dyDescent="0.25">
      <c r="D93" s="136" t="s">
        <v>34</v>
      </c>
      <c r="E93" s="347">
        <f>E71/(E$89*1000)*100</f>
        <v>15.343458797734332</v>
      </c>
      <c r="F93" s="348">
        <f>F71/(F$89*1000)*100</f>
        <v>15.072740413230168</v>
      </c>
      <c r="G93" s="347"/>
      <c r="H93" s="349">
        <f>H71/(H$89*1000)*100</f>
        <v>15.521059892874533</v>
      </c>
      <c r="I93" s="347"/>
      <c r="J93" s="483">
        <f t="shared" ref="J93:AE93" si="38">J71/(J$89*1000)*100</f>
        <v>16.553257537542198</v>
      </c>
      <c r="K93" s="483">
        <f t="shared" si="38"/>
        <v>16.100326843825492</v>
      </c>
      <c r="L93" s="483">
        <f t="shared" si="38"/>
        <v>15.809048257372654</v>
      </c>
      <c r="M93" s="483">
        <f t="shared" si="38"/>
        <v>16.555039559683525</v>
      </c>
      <c r="N93" s="483">
        <f t="shared" si="38"/>
        <v>15.676139912554653</v>
      </c>
      <c r="O93" s="483">
        <f t="shared" si="38"/>
        <v>14.918562874251498</v>
      </c>
      <c r="P93" s="137">
        <f t="shared" si="38"/>
        <v>14.469467640918579</v>
      </c>
      <c r="Q93" s="137">
        <f t="shared" si="38"/>
        <v>16.205602957906713</v>
      </c>
      <c r="R93" s="137">
        <f t="shared" si="38"/>
        <v>14.490709838107099</v>
      </c>
      <c r="S93" s="137">
        <f t="shared" si="38"/>
        <v>15.193101646198064</v>
      </c>
      <c r="T93" s="137">
        <f t="shared" si="38"/>
        <v>15.858771035186129</v>
      </c>
      <c r="U93" s="206">
        <f t="shared" si="38"/>
        <v>16.976774903687396</v>
      </c>
      <c r="V93" s="137">
        <f t="shared" si="38"/>
        <v>15.885381891755184</v>
      </c>
      <c r="W93" s="206">
        <f t="shared" si="38"/>
        <v>17.749755301794455</v>
      </c>
      <c r="X93" s="142">
        <f t="shared" si="38"/>
        <v>16.443375590355455</v>
      </c>
      <c r="Y93" s="206">
        <f t="shared" si="38"/>
        <v>18.225636899973182</v>
      </c>
      <c r="Z93" s="142">
        <f t="shared" si="38"/>
        <v>16.381403940886699</v>
      </c>
      <c r="AA93" s="206">
        <f t="shared" si="38"/>
        <v>18.08374345549738</v>
      </c>
      <c r="AB93" s="137">
        <f>AB71/(AB$89*1000)*100</f>
        <v>16.665373352855049</v>
      </c>
      <c r="AC93" s="137">
        <f t="shared" si="38"/>
        <v>17.886316064887495</v>
      </c>
      <c r="AD93" s="137">
        <f>AD71/(AD$89*1000)*100</f>
        <v>16.222861155239627</v>
      </c>
      <c r="AE93" s="206">
        <f t="shared" si="38"/>
        <v>17.329253878355086</v>
      </c>
      <c r="AF93" s="137">
        <f t="shared" ref="AF93:AN93" si="39">AF71/(AF$89*1000)*100</f>
        <v>15.306118674445681</v>
      </c>
      <c r="AG93" s="433">
        <f t="shared" si="39"/>
        <v>15.952315954352203</v>
      </c>
      <c r="AH93" s="142">
        <f t="shared" si="39"/>
        <v>14.897745171445409</v>
      </c>
      <c r="AI93" s="142">
        <f t="shared" si="39"/>
        <v>15.134757530442213</v>
      </c>
      <c r="AJ93" s="142">
        <f t="shared" ref="AJ93" si="40">AJ71/(AJ$89*1000)*100</f>
        <v>14.463807838975034</v>
      </c>
      <c r="AK93" s="433">
        <f t="shared" si="39"/>
        <v>14.375496031746032</v>
      </c>
      <c r="AL93" s="433">
        <f t="shared" ref="AL93:AM93" si="41">AL71/(AL$89*1000)*100</f>
        <v>14.756754716981133</v>
      </c>
      <c r="AM93" s="142">
        <f t="shared" si="41"/>
        <v>14.466978860660817</v>
      </c>
      <c r="AN93" s="142">
        <f t="shared" si="39"/>
        <v>14.662231185572733</v>
      </c>
      <c r="AO93" s="142">
        <f t="shared" ref="AO93" si="42">AO71/(AO$89*1000)*100</f>
        <v>15.01806762559959</v>
      </c>
      <c r="AP93" s="134"/>
      <c r="AQ93" s="135"/>
    </row>
    <row r="94" spans="4:44" x14ac:dyDescent="0.25">
      <c r="D94" s="136"/>
      <c r="E94" s="350"/>
      <c r="F94" s="351"/>
      <c r="G94" s="350"/>
      <c r="H94" s="352"/>
      <c r="I94" s="350"/>
      <c r="J94" s="484"/>
      <c r="K94" s="484"/>
      <c r="L94" s="484"/>
      <c r="M94" s="484"/>
      <c r="N94" s="484"/>
      <c r="O94" s="484"/>
      <c r="P94" s="138"/>
      <c r="Q94" s="138"/>
      <c r="R94" s="138"/>
      <c r="S94" s="138"/>
      <c r="T94" s="138"/>
      <c r="U94" s="207"/>
      <c r="V94" s="138"/>
      <c r="W94" s="207"/>
      <c r="X94" s="138"/>
      <c r="Y94" s="207"/>
      <c r="Z94" s="138"/>
      <c r="AA94" s="207"/>
      <c r="AB94" s="138"/>
      <c r="AC94" s="138"/>
      <c r="AD94" s="400"/>
      <c r="AE94" s="207"/>
      <c r="AF94" s="138"/>
      <c r="AG94" s="434"/>
      <c r="AH94" s="138"/>
      <c r="AI94" s="138"/>
      <c r="AJ94" s="138"/>
      <c r="AK94" s="434"/>
      <c r="AL94" s="434"/>
      <c r="AM94" s="138"/>
      <c r="AN94" s="138"/>
      <c r="AO94" s="138"/>
      <c r="AP94" s="139"/>
      <c r="AQ94" s="139"/>
    </row>
    <row r="95" spans="4:44" x14ac:dyDescent="0.25">
      <c r="D95" s="140" t="s">
        <v>62</v>
      </c>
      <c r="E95" s="353">
        <v>632268</v>
      </c>
      <c r="F95" s="354">
        <f>693920-31327*0</f>
        <v>693920</v>
      </c>
      <c r="G95" s="353"/>
      <c r="H95" s="355">
        <f>750682</f>
        <v>750682</v>
      </c>
      <c r="I95" s="353"/>
      <c r="J95" s="485">
        <f>808718-20397*0</f>
        <v>808718</v>
      </c>
      <c r="K95" s="485">
        <f>862892-2363*0</f>
        <v>862892</v>
      </c>
      <c r="L95" s="485">
        <f>922798-2467*0</f>
        <v>922798</v>
      </c>
      <c r="M95" s="485">
        <f>908416-16147</f>
        <v>892269</v>
      </c>
      <c r="N95" s="485">
        <f>958792-15432*0</f>
        <v>958792</v>
      </c>
      <c r="O95" s="485">
        <v>1020640</v>
      </c>
      <c r="P95" s="141">
        <v>1092275</v>
      </c>
      <c r="Q95" s="141">
        <v>1040777</v>
      </c>
      <c r="R95" s="141">
        <v>1083944</v>
      </c>
      <c r="S95" s="141">
        <f>1085561+21750</f>
        <v>1107311</v>
      </c>
      <c r="T95" s="141">
        <v>1167009</v>
      </c>
      <c r="U95" s="208">
        <f>1151401+701</f>
        <v>1152102</v>
      </c>
      <c r="V95" s="141">
        <v>1156793</v>
      </c>
      <c r="W95" s="282">
        <f>1200264+3008-18353</f>
        <v>1184919</v>
      </c>
      <c r="X95" s="141">
        <v>1155526</v>
      </c>
      <c r="Y95" s="208">
        <v>1190701</v>
      </c>
      <c r="Z95" s="141">
        <v>1152387</v>
      </c>
      <c r="AA95" s="208">
        <v>1189701</v>
      </c>
      <c r="AB95" s="141">
        <v>1173128</v>
      </c>
      <c r="AC95" s="141">
        <f>1184878-4110-4400</f>
        <v>1176368</v>
      </c>
      <c r="AD95" s="401">
        <v>1211608</v>
      </c>
      <c r="AE95" s="401">
        <v>1211608</v>
      </c>
      <c r="AF95" s="401">
        <v>1297321</v>
      </c>
      <c r="AG95" s="435">
        <f>1218502-47</f>
        <v>1218455</v>
      </c>
      <c r="AH95" s="141">
        <v>1219844</v>
      </c>
      <c r="AI95" s="141">
        <f>1249312+1545</f>
        <v>1250857</v>
      </c>
      <c r="AJ95" s="141">
        <v>1279796</v>
      </c>
      <c r="AK95" s="435">
        <f>1304722+4550</f>
        <v>1309272</v>
      </c>
      <c r="AL95" s="435">
        <v>1364498</v>
      </c>
      <c r="AM95" s="141">
        <v>1400974</v>
      </c>
      <c r="AN95" s="141">
        <v>1505359</v>
      </c>
      <c r="AO95" s="141">
        <v>1618119</v>
      </c>
      <c r="AP95" s="131"/>
      <c r="AQ95" s="139"/>
    </row>
    <row r="96" spans="4:44" ht="26.4" x14ac:dyDescent="0.25">
      <c r="D96" s="66" t="s">
        <v>59</v>
      </c>
      <c r="E96" s="347">
        <f>E11/E$95*100</f>
        <v>42.281437618225183</v>
      </c>
      <c r="F96" s="348">
        <f>F11/F$95*100</f>
        <v>41.083842517869499</v>
      </c>
      <c r="G96" s="347"/>
      <c r="H96" s="349">
        <f>H11/H$95*100</f>
        <v>40.660625937480852</v>
      </c>
      <c r="I96" s="347"/>
      <c r="J96" s="483">
        <f t="shared" ref="J96:AE96" si="43">J11/J$95*100</f>
        <v>39.833415356156287</v>
      </c>
      <c r="K96" s="483">
        <f t="shared" si="43"/>
        <v>38.351728837444313</v>
      </c>
      <c r="L96" s="483">
        <f t="shared" si="43"/>
        <v>37.223964507942149</v>
      </c>
      <c r="M96" s="483">
        <f t="shared" si="43"/>
        <v>38.338662443724928</v>
      </c>
      <c r="N96" s="483">
        <f t="shared" si="43"/>
        <v>37.81821291792172</v>
      </c>
      <c r="O96" s="483">
        <f t="shared" si="43"/>
        <v>36.541189841667972</v>
      </c>
      <c r="P96" s="137">
        <f t="shared" si="43"/>
        <v>37.833237966629284</v>
      </c>
      <c r="Q96" s="137">
        <f t="shared" si="43"/>
        <v>40.005207647747788</v>
      </c>
      <c r="R96" s="137">
        <f t="shared" si="43"/>
        <v>39.59770984478903</v>
      </c>
      <c r="S96" s="137">
        <f t="shared" si="43"/>
        <v>38.106728823248389</v>
      </c>
      <c r="T96" s="137">
        <f t="shared" si="43"/>
        <v>39.317777326481632</v>
      </c>
      <c r="U96" s="206">
        <f t="shared" si="43"/>
        <v>38.994811223311828</v>
      </c>
      <c r="V96" s="137">
        <f t="shared" si="43"/>
        <v>39.888381067312821</v>
      </c>
      <c r="W96" s="206">
        <f t="shared" si="43"/>
        <v>39.092967536177582</v>
      </c>
      <c r="X96" s="142">
        <f t="shared" si="43"/>
        <v>41.053078857593853</v>
      </c>
      <c r="Y96" s="206">
        <f t="shared" si="43"/>
        <v>39.989888309491633</v>
      </c>
      <c r="Z96" s="142">
        <f t="shared" si="43"/>
        <v>42.178018321969965</v>
      </c>
      <c r="AA96" s="206">
        <f t="shared" si="43"/>
        <v>41.762678185527285</v>
      </c>
      <c r="AB96" s="142">
        <f>AB11/AB$95*100</f>
        <v>42.20784091761513</v>
      </c>
      <c r="AC96" s="142">
        <f t="shared" si="43"/>
        <v>42.851046611264501</v>
      </c>
      <c r="AD96" s="142">
        <f>AD11/AD$95*100</f>
        <v>41.442529266891604</v>
      </c>
      <c r="AE96" s="206">
        <f t="shared" si="43"/>
        <v>42.3389413077497</v>
      </c>
      <c r="AF96" s="142">
        <f t="shared" ref="AF96:AN96" si="44">AF11/AF$95*100</f>
        <v>39.51866962764035</v>
      </c>
      <c r="AG96" s="433">
        <f t="shared" si="44"/>
        <v>42.590739912430088</v>
      </c>
      <c r="AH96" s="142">
        <f t="shared" si="44"/>
        <v>42.63061506225386</v>
      </c>
      <c r="AI96" s="142">
        <f t="shared" si="44"/>
        <v>41.807736615776228</v>
      </c>
      <c r="AJ96" s="142">
        <f t="shared" ref="AJ96" si="45">AJ11/AJ$95*100</f>
        <v>41.994974199012972</v>
      </c>
      <c r="AK96" s="433">
        <f t="shared" si="44"/>
        <v>41.444482124417235</v>
      </c>
      <c r="AL96" s="433">
        <f t="shared" ref="AL96:AM96" si="46">AL11/AL$95*100</f>
        <v>41.838463669422751</v>
      </c>
      <c r="AM96" s="142">
        <f t="shared" si="46"/>
        <v>40.356023737771011</v>
      </c>
      <c r="AN96" s="142">
        <f t="shared" si="44"/>
        <v>40.628913103120254</v>
      </c>
      <c r="AO96" s="142">
        <f t="shared" ref="AO96" si="47">AO11/AO$95*100</f>
        <v>40.88827830338807</v>
      </c>
      <c r="AP96" s="134"/>
      <c r="AQ96" s="139"/>
    </row>
    <row r="97" spans="3:43" x14ac:dyDescent="0.25">
      <c r="D97" s="136" t="s">
        <v>35</v>
      </c>
      <c r="E97" s="347">
        <f>E47/E$95*100</f>
        <v>52.499414805114284</v>
      </c>
      <c r="F97" s="348">
        <f>F47/F$95*100</f>
        <v>50.655118745676731</v>
      </c>
      <c r="G97" s="347"/>
      <c r="H97" s="349">
        <f>H47/H$95*100</f>
        <v>50.224728979781055</v>
      </c>
      <c r="I97" s="347"/>
      <c r="J97" s="483">
        <f t="shared" ref="J97:AE97" si="48">J47/J$95*100</f>
        <v>49.627064069304751</v>
      </c>
      <c r="K97" s="483">
        <f t="shared" si="48"/>
        <v>48.470955809069963</v>
      </c>
      <c r="L97" s="483">
        <f t="shared" si="48"/>
        <v>46.061001432599554</v>
      </c>
      <c r="M97" s="483">
        <f t="shared" si="48"/>
        <v>48.331949221591245</v>
      </c>
      <c r="N97" s="483">
        <f t="shared" si="48"/>
        <v>47.969424025231753</v>
      </c>
      <c r="O97" s="483">
        <f t="shared" si="48"/>
        <v>46.415092490986048</v>
      </c>
      <c r="P97" s="137">
        <f t="shared" si="48"/>
        <v>47.512851617037832</v>
      </c>
      <c r="Q97" s="137">
        <f t="shared" si="48"/>
        <v>50.488433160994141</v>
      </c>
      <c r="R97" s="137">
        <f t="shared" si="48"/>
        <v>50.293649856450152</v>
      </c>
      <c r="S97" s="137">
        <f t="shared" si="48"/>
        <v>48.818624577918939</v>
      </c>
      <c r="T97" s="137">
        <f t="shared" si="48"/>
        <v>50.131747055935307</v>
      </c>
      <c r="U97" s="206">
        <f t="shared" si="48"/>
        <v>49.680236645713663</v>
      </c>
      <c r="V97" s="137">
        <f t="shared" si="48"/>
        <v>50.925446471408456</v>
      </c>
      <c r="W97" s="206">
        <f t="shared" si="48"/>
        <v>51.39296441360127</v>
      </c>
      <c r="X97" s="142">
        <f t="shared" si="48"/>
        <v>53.074963263483468</v>
      </c>
      <c r="Y97" s="206">
        <f t="shared" si="48"/>
        <v>52.821321221700487</v>
      </c>
      <c r="Z97" s="142">
        <f t="shared" si="48"/>
        <v>54.269876352301779</v>
      </c>
      <c r="AA97" s="206">
        <f t="shared" si="48"/>
        <v>54.51487390529217</v>
      </c>
      <c r="AB97" s="142">
        <f>AB47/AB$95*100</f>
        <v>54.55858184273157</v>
      </c>
      <c r="AC97" s="142">
        <f t="shared" si="48"/>
        <v>54.516188811664378</v>
      </c>
      <c r="AD97" s="142">
        <f>AD47/AD$95*100</f>
        <v>54.063195356914115</v>
      </c>
      <c r="AE97" s="206">
        <f t="shared" si="48"/>
        <v>54.524318096281966</v>
      </c>
      <c r="AF97" s="142">
        <f t="shared" ref="AF97:AN97" si="49">AF47/AF$95*100</f>
        <v>51.062998286468812</v>
      </c>
      <c r="AG97" s="433">
        <f t="shared" si="49"/>
        <v>54.808999922032406</v>
      </c>
      <c r="AH97" s="142">
        <f t="shared" si="49"/>
        <v>54.683221789015647</v>
      </c>
      <c r="AI97" s="142">
        <f t="shared" si="49"/>
        <v>52.933069087833381</v>
      </c>
      <c r="AJ97" s="142">
        <f t="shared" ref="AJ97" si="50">AJ47/AJ$95*100</f>
        <v>53.838658661224137</v>
      </c>
      <c r="AK97" s="433">
        <f t="shared" si="49"/>
        <v>52.034794908926486</v>
      </c>
      <c r="AL97" s="433">
        <f t="shared" ref="AL97:AM97" si="51">AL47/AL$95*100</f>
        <v>53.994949058188432</v>
      </c>
      <c r="AM97" s="142">
        <f t="shared" si="51"/>
        <v>51.6193305514592</v>
      </c>
      <c r="AN97" s="142">
        <f t="shared" si="49"/>
        <v>51.560923341209644</v>
      </c>
      <c r="AO97" s="142">
        <f t="shared" ref="AO97" si="52">AO47/AO$95*100</f>
        <v>51.326571160711907</v>
      </c>
      <c r="AP97" s="134"/>
      <c r="AQ97" s="139"/>
    </row>
    <row r="98" spans="3:43" x14ac:dyDescent="0.25">
      <c r="D98" s="136" t="s">
        <v>36</v>
      </c>
      <c r="E98" s="347">
        <f>E69/E$95*100</f>
        <v>0.62663301005269922</v>
      </c>
      <c r="F98" s="348">
        <f>F69/F$95*100</f>
        <v>0.43737030205210975</v>
      </c>
      <c r="G98" s="347"/>
      <c r="H98" s="349">
        <f>H69/H$95*100</f>
        <v>0.72907036534777714</v>
      </c>
      <c r="I98" s="347"/>
      <c r="J98" s="483">
        <f t="shared" ref="J98:AE98" si="53">J69/J$95*100</f>
        <v>3.1223491995973873</v>
      </c>
      <c r="K98" s="483">
        <f t="shared" si="53"/>
        <v>4.0491741724340935</v>
      </c>
      <c r="L98" s="483">
        <f t="shared" si="53"/>
        <v>5.0598289116361332</v>
      </c>
      <c r="M98" s="483">
        <f t="shared" si="53"/>
        <v>5.6041395588101794</v>
      </c>
      <c r="N98" s="483">
        <f t="shared" si="53"/>
        <v>4.3829109963370572</v>
      </c>
      <c r="O98" s="483">
        <f t="shared" si="53"/>
        <v>4.8462729267910332</v>
      </c>
      <c r="P98" s="137">
        <f t="shared" si="53"/>
        <v>3.2500057220022431</v>
      </c>
      <c r="Q98" s="137">
        <f t="shared" si="53"/>
        <v>4.2580687313420649</v>
      </c>
      <c r="R98" s="137">
        <f t="shared" si="53"/>
        <v>3.3808942159373543</v>
      </c>
      <c r="S98" s="137">
        <f t="shared" si="53"/>
        <v>3.6905620914088271</v>
      </c>
      <c r="T98" s="137">
        <f t="shared" si="53"/>
        <v>3.1652712189880283</v>
      </c>
      <c r="U98" s="206">
        <f t="shared" si="53"/>
        <v>3.8684942826242819</v>
      </c>
      <c r="V98" s="137">
        <f t="shared" si="53"/>
        <v>3.3719083708148299</v>
      </c>
      <c r="W98" s="206">
        <f t="shared" si="53"/>
        <v>3.7024471714944225</v>
      </c>
      <c r="X98" s="142">
        <f t="shared" si="53"/>
        <v>4.1731644290132808</v>
      </c>
      <c r="Y98" s="206">
        <f t="shared" si="53"/>
        <v>4.2571560786461085</v>
      </c>
      <c r="Z98" s="142">
        <f t="shared" si="53"/>
        <v>3.4438083734023377</v>
      </c>
      <c r="AA98" s="206">
        <f t="shared" si="53"/>
        <v>3.5500516516334777</v>
      </c>
      <c r="AB98" s="142">
        <f>AB69/AB$95*100</f>
        <v>3.6573161666928073</v>
      </c>
      <c r="AC98" s="142">
        <f t="shared" si="53"/>
        <v>3.5961535845925763</v>
      </c>
      <c r="AD98" s="142">
        <f>AD69/AD$95*100</f>
        <v>3.6964100600194123</v>
      </c>
      <c r="AE98" s="206">
        <f t="shared" si="53"/>
        <v>3.5589068411565457</v>
      </c>
      <c r="AF98" s="142">
        <f t="shared" ref="AF98:AN98" si="54">AF69/AF$95*100</f>
        <v>3.1592026954007526</v>
      </c>
      <c r="AG98" s="433">
        <f t="shared" si="54"/>
        <v>3.7002597551817673</v>
      </c>
      <c r="AH98" s="142">
        <f t="shared" si="54"/>
        <v>3.5474208177439084</v>
      </c>
      <c r="AI98" s="142">
        <f t="shared" si="54"/>
        <v>3.7047400302352704</v>
      </c>
      <c r="AJ98" s="142">
        <f t="shared" ref="AJ98" si="55">AJ69/AJ$95*100</f>
        <v>3.2037918543267834</v>
      </c>
      <c r="AK98" s="433">
        <f t="shared" si="54"/>
        <v>3.303209722655033</v>
      </c>
      <c r="AL98" s="433">
        <f t="shared" ref="AL98:AM98" si="56">AL69/AL$95*100</f>
        <v>3.3234200416563455</v>
      </c>
      <c r="AM98" s="142">
        <f t="shared" si="56"/>
        <v>3.4072009901682687</v>
      </c>
      <c r="AN98" s="142">
        <f t="shared" si="54"/>
        <v>3.2442759501221969</v>
      </c>
      <c r="AO98" s="142">
        <f t="shared" ref="AO98" si="57">AO69/AO$95*100</f>
        <v>3.2505643898872707</v>
      </c>
      <c r="AP98" s="143"/>
      <c r="AQ98" s="139"/>
    </row>
    <row r="99" spans="3:43" x14ac:dyDescent="0.25">
      <c r="D99" s="136" t="s">
        <v>37</v>
      </c>
      <c r="E99" s="347">
        <f>E71/E$95*100</f>
        <v>53.126047815166984</v>
      </c>
      <c r="F99" s="348">
        <f>F71/F$95*100</f>
        <v>51.09248904772884</v>
      </c>
      <c r="G99" s="347"/>
      <c r="H99" s="349">
        <f>H71/H$95*100</f>
        <v>50.953799345128829</v>
      </c>
      <c r="I99" s="347"/>
      <c r="J99" s="483">
        <f t="shared" ref="J99:AE99" si="58">J71/J$95*100</f>
        <v>52.749413268902131</v>
      </c>
      <c r="K99" s="483">
        <f t="shared" si="58"/>
        <v>52.520129981504063</v>
      </c>
      <c r="L99" s="483">
        <f t="shared" si="58"/>
        <v>51.120830344235678</v>
      </c>
      <c r="M99" s="483">
        <f t="shared" si="58"/>
        <v>53.936088780401427</v>
      </c>
      <c r="N99" s="483">
        <f t="shared" si="58"/>
        <v>52.352335021568805</v>
      </c>
      <c r="O99" s="483">
        <f t="shared" si="58"/>
        <v>51.261365417777085</v>
      </c>
      <c r="P99" s="137">
        <f t="shared" si="58"/>
        <v>50.762857339040082</v>
      </c>
      <c r="Q99" s="137">
        <f t="shared" si="58"/>
        <v>54.746501892336205</v>
      </c>
      <c r="R99" s="137">
        <f t="shared" si="58"/>
        <v>53.674544072387512</v>
      </c>
      <c r="S99" s="137">
        <f t="shared" si="58"/>
        <v>52.509186669327768</v>
      </c>
      <c r="T99" s="137">
        <f t="shared" si="58"/>
        <v>53.297018274923325</v>
      </c>
      <c r="U99" s="206">
        <f t="shared" si="58"/>
        <v>53.548730928337939</v>
      </c>
      <c r="V99" s="137">
        <f t="shared" si="58"/>
        <v>54.297354842223285</v>
      </c>
      <c r="W99" s="206">
        <f t="shared" si="58"/>
        <v>55.09541158509569</v>
      </c>
      <c r="X99" s="142">
        <f t="shared" si="58"/>
        <v>57.248127692496752</v>
      </c>
      <c r="Y99" s="206">
        <f t="shared" si="58"/>
        <v>57.078477300346599</v>
      </c>
      <c r="Z99" s="142">
        <f t="shared" si="58"/>
        <v>57.713684725704127</v>
      </c>
      <c r="AA99" s="206">
        <f t="shared" si="58"/>
        <v>58.064925556925651</v>
      </c>
      <c r="AB99" s="142">
        <f>AB71/AB$95*100</f>
        <v>58.215898009424372</v>
      </c>
      <c r="AC99" s="142">
        <f t="shared" si="58"/>
        <v>58.112342396256956</v>
      </c>
      <c r="AD99" s="142">
        <f>AD71/AD$95*100</f>
        <v>57.759605416933532</v>
      </c>
      <c r="AE99" s="206">
        <f t="shared" si="58"/>
        <v>58.083224937438516</v>
      </c>
      <c r="AF99" s="142">
        <f t="shared" ref="AF99:AN99" si="59">AF71/AF$95*100</f>
        <v>54.222200981869562</v>
      </c>
      <c r="AG99" s="433">
        <f t="shared" si="59"/>
        <v>58.509259677214175</v>
      </c>
      <c r="AH99" s="142">
        <f t="shared" si="59"/>
        <v>58.230642606759552</v>
      </c>
      <c r="AI99" s="142">
        <f t="shared" si="59"/>
        <v>56.637809118068652</v>
      </c>
      <c r="AJ99" s="142">
        <f t="shared" ref="AJ99" si="60">AJ71/AJ$95*100</f>
        <v>57.042450515550911</v>
      </c>
      <c r="AK99" s="433">
        <f t="shared" si="59"/>
        <v>55.338004631581519</v>
      </c>
      <c r="AL99" s="433">
        <f t="shared" ref="AL99:AM99" si="61">AL71/AL$95*100</f>
        <v>57.31836909984478</v>
      </c>
      <c r="AM99" s="142">
        <f t="shared" si="61"/>
        <v>55.026531541627463</v>
      </c>
      <c r="AN99" s="142">
        <f t="shared" si="59"/>
        <v>54.805199291331832</v>
      </c>
      <c r="AO99" s="142">
        <f t="shared" ref="AO99" si="62">AO71/AO$95*100</f>
        <v>54.577135550599188</v>
      </c>
      <c r="AP99" s="143"/>
      <c r="AQ99" s="139"/>
    </row>
    <row r="100" spans="3:43" x14ac:dyDescent="0.25">
      <c r="D100" s="144"/>
      <c r="E100" s="350"/>
      <c r="F100" s="351"/>
      <c r="G100" s="350"/>
      <c r="H100" s="352"/>
      <c r="I100" s="350"/>
      <c r="J100" s="484"/>
      <c r="K100" s="484"/>
      <c r="L100" s="484"/>
      <c r="M100" s="484"/>
      <c r="N100" s="484"/>
      <c r="O100" s="484"/>
      <c r="P100" s="138"/>
      <c r="Q100" s="138"/>
      <c r="R100" s="138"/>
      <c r="S100" s="138"/>
      <c r="T100" s="138"/>
      <c r="U100" s="207"/>
      <c r="V100" s="138"/>
      <c r="W100" s="207"/>
      <c r="X100" s="138"/>
      <c r="Y100" s="207"/>
      <c r="Z100" s="138"/>
      <c r="AA100" s="207"/>
      <c r="AB100" s="138"/>
      <c r="AC100" s="138"/>
      <c r="AD100" s="400"/>
      <c r="AE100" s="207"/>
      <c r="AF100" s="138"/>
      <c r="AG100" s="434"/>
      <c r="AH100" s="138"/>
      <c r="AI100" s="138"/>
      <c r="AJ100" s="138"/>
      <c r="AK100" s="434"/>
      <c r="AL100" s="434"/>
      <c r="AM100" s="138"/>
      <c r="AN100" s="138"/>
      <c r="AO100" s="138"/>
      <c r="AP100" s="139"/>
      <c r="AQ100" s="139"/>
    </row>
    <row r="101" spans="3:43" x14ac:dyDescent="0.25">
      <c r="D101" s="145" t="s">
        <v>63</v>
      </c>
      <c r="E101" s="353">
        <v>586207</v>
      </c>
      <c r="F101" s="354">
        <f>626216-8088*0</f>
        <v>626216</v>
      </c>
      <c r="G101" s="353"/>
      <c r="H101" s="355">
        <f>704967</f>
        <v>704967</v>
      </c>
      <c r="I101" s="353"/>
      <c r="J101" s="485">
        <f>699665-7500*0</f>
        <v>699665</v>
      </c>
      <c r="K101" s="485">
        <f>769207-4720*0</f>
        <v>769207</v>
      </c>
      <c r="L101" s="485">
        <f>866460-3813*0</f>
        <v>866460</v>
      </c>
      <c r="M101" s="485">
        <f>824831-5113</f>
        <v>819718</v>
      </c>
      <c r="N101" s="485">
        <f>884392-6223*0</f>
        <v>884392</v>
      </c>
      <c r="O101" s="485">
        <v>923060</v>
      </c>
      <c r="P101" s="141">
        <v>1025883</v>
      </c>
      <c r="Q101" s="141">
        <v>949477</v>
      </c>
      <c r="R101" s="141">
        <v>1063941</v>
      </c>
      <c r="S101" s="141">
        <f>1007161+29350</f>
        <v>1036511</v>
      </c>
      <c r="T101" s="141">
        <v>974615</v>
      </c>
      <c r="U101" s="208">
        <f>1113301+701</f>
        <v>1114002</v>
      </c>
      <c r="V101" s="141">
        <v>1000377</v>
      </c>
      <c r="W101" s="282">
        <f>969264+4008+48947</f>
        <v>1022219</v>
      </c>
      <c r="X101" s="141">
        <v>1012755</v>
      </c>
      <c r="Y101" s="208">
        <v>1055701</v>
      </c>
      <c r="Z101" s="141">
        <v>1051387</v>
      </c>
      <c r="AA101" s="208">
        <v>1084701</v>
      </c>
      <c r="AB101" s="141">
        <v>1091863</v>
      </c>
      <c r="AC101" s="141">
        <f>1069723+15000+155-4110-4400</f>
        <v>1076368</v>
      </c>
      <c r="AD101" s="401">
        <v>1133826</v>
      </c>
      <c r="AE101" s="208">
        <v>1099307</v>
      </c>
      <c r="AF101" s="141">
        <v>1234517</v>
      </c>
      <c r="AG101" s="435">
        <f>1118502-47</f>
        <v>1118455</v>
      </c>
      <c r="AH101" s="141">
        <v>1281618</v>
      </c>
      <c r="AI101" s="141">
        <f>1179312+1545</f>
        <v>1180857</v>
      </c>
      <c r="AJ101" s="141">
        <v>1273644</v>
      </c>
      <c r="AK101" s="435">
        <f>1244722+4550</f>
        <v>1249272</v>
      </c>
      <c r="AL101" s="435">
        <v>1314498</v>
      </c>
      <c r="AM101" s="141">
        <v>1403918</v>
      </c>
      <c r="AN101" s="141">
        <v>1465359</v>
      </c>
      <c r="AO101" s="141">
        <v>1578119</v>
      </c>
      <c r="AP101" s="131"/>
      <c r="AQ101" s="139"/>
    </row>
    <row r="102" spans="3:43" ht="26.4" x14ac:dyDescent="0.25">
      <c r="D102" s="66" t="s">
        <v>60</v>
      </c>
      <c r="E102" s="347">
        <f>E11/E$101*100</f>
        <v>45.603686069937751</v>
      </c>
      <c r="F102" s="348">
        <f>F11/F$101*100</f>
        <v>45.525665265659129</v>
      </c>
      <c r="G102" s="347"/>
      <c r="H102" s="349">
        <f>H11/H$101*100</f>
        <v>43.297345833209214</v>
      </c>
      <c r="I102" s="347"/>
      <c r="J102" s="483">
        <f t="shared" ref="J102:AE102" si="63">J11/J$101*100</f>
        <v>46.042034402178182</v>
      </c>
      <c r="K102" s="483">
        <f t="shared" si="63"/>
        <v>43.022749402956549</v>
      </c>
      <c r="L102" s="483">
        <f t="shared" si="63"/>
        <v>39.644299794566393</v>
      </c>
      <c r="M102" s="483">
        <f t="shared" si="63"/>
        <v>41.731912682166303</v>
      </c>
      <c r="N102" s="483">
        <f t="shared" si="63"/>
        <v>40.999692444074576</v>
      </c>
      <c r="O102" s="483">
        <f t="shared" si="63"/>
        <v>40.404090741663595</v>
      </c>
      <c r="P102" s="137">
        <f t="shared" si="63"/>
        <v>40.281689042512646</v>
      </c>
      <c r="Q102" s="137">
        <f t="shared" si="63"/>
        <v>43.852036436901578</v>
      </c>
      <c r="R102" s="137">
        <f t="shared" si="63"/>
        <v>40.342180628437099</v>
      </c>
      <c r="S102" s="137">
        <f t="shared" si="63"/>
        <v>40.70964996994725</v>
      </c>
      <c r="T102" s="137">
        <f t="shared" si="63"/>
        <v>47.079308239663867</v>
      </c>
      <c r="U102" s="206">
        <f t="shared" si="63"/>
        <v>40.32847337796521</v>
      </c>
      <c r="V102" s="137">
        <f t="shared" si="63"/>
        <v>46.125210795530087</v>
      </c>
      <c r="W102" s="206">
        <f t="shared" si="63"/>
        <v>45.315142841211134</v>
      </c>
      <c r="X102" s="142">
        <f t="shared" si="63"/>
        <v>46.840450059491189</v>
      </c>
      <c r="Y102" s="206">
        <f t="shared" si="63"/>
        <v>45.10367992452408</v>
      </c>
      <c r="Z102" s="142">
        <f t="shared" si="63"/>
        <v>46.229789791960521</v>
      </c>
      <c r="AA102" s="206">
        <f t="shared" si="63"/>
        <v>45.805341748555591</v>
      </c>
      <c r="AB102" s="137">
        <f>AB11/AB$101*100</f>
        <v>45.34927916780768</v>
      </c>
      <c r="AC102" s="137">
        <f t="shared" si="63"/>
        <v>46.832124329225692</v>
      </c>
      <c r="AD102" s="137">
        <f>AD11/AD$101*100</f>
        <v>44.285542931631483</v>
      </c>
      <c r="AE102" s="206">
        <f t="shared" si="63"/>
        <v>46.664125671900571</v>
      </c>
      <c r="AF102" s="137">
        <f t="shared" ref="AF102:AN102" si="64">AF11/AF$101*100</f>
        <v>41.529116245462802</v>
      </c>
      <c r="AG102" s="433">
        <f t="shared" si="64"/>
        <v>46.398737544201602</v>
      </c>
      <c r="AH102" s="142">
        <f t="shared" si="64"/>
        <v>40.575819003790521</v>
      </c>
      <c r="AI102" s="142">
        <f t="shared" si="64"/>
        <v>44.286056652075565</v>
      </c>
      <c r="AJ102" s="142">
        <f t="shared" ref="AJ102" si="65">AJ11/AJ$101*100</f>
        <v>42.197819798939108</v>
      </c>
      <c r="AK102" s="433">
        <f t="shared" si="64"/>
        <v>43.434976530331262</v>
      </c>
      <c r="AL102" s="433">
        <f t="shared" ref="AL102:AM102" si="66">AL11/AL$101*100</f>
        <v>43.429887302985627</v>
      </c>
      <c r="AM102" s="142">
        <f t="shared" si="66"/>
        <v>40.271397617239757</v>
      </c>
      <c r="AN102" s="142">
        <f t="shared" si="64"/>
        <v>41.737963188542878</v>
      </c>
      <c r="AO102" s="142">
        <f t="shared" ref="AO102" si="67">AO11/AO$101*100</f>
        <v>41.924658406622065</v>
      </c>
      <c r="AP102" s="134"/>
      <c r="AQ102" s="139"/>
    </row>
    <row r="103" spans="3:43" x14ac:dyDescent="0.25">
      <c r="D103" s="136" t="s">
        <v>38</v>
      </c>
      <c r="E103" s="347">
        <f>E47/E$101*100</f>
        <v>56.624537066258164</v>
      </c>
      <c r="F103" s="348">
        <f>F47/F$101*100</f>
        <v>56.131750067069511</v>
      </c>
      <c r="G103" s="347"/>
      <c r="H103" s="349">
        <f>H47/H$101*100</f>
        <v>53.481652332662378</v>
      </c>
      <c r="I103" s="347"/>
      <c r="J103" s="483">
        <f t="shared" ref="J103:AE103" si="68">J47/J$101*100</f>
        <v>57.362166179528771</v>
      </c>
      <c r="K103" s="483">
        <f t="shared" si="68"/>
        <v>54.374440170201254</v>
      </c>
      <c r="L103" s="483">
        <f t="shared" si="68"/>
        <v>49.055928721464348</v>
      </c>
      <c r="M103" s="483">
        <f t="shared" si="68"/>
        <v>52.609677962421216</v>
      </c>
      <c r="N103" s="483">
        <f t="shared" si="68"/>
        <v>52.004880188875525</v>
      </c>
      <c r="O103" s="483">
        <f t="shared" si="68"/>
        <v>51.321799232985946</v>
      </c>
      <c r="P103" s="137">
        <f t="shared" si="68"/>
        <v>50.587737588009553</v>
      </c>
      <c r="Q103" s="137">
        <f t="shared" si="68"/>
        <v>55.343310053850701</v>
      </c>
      <c r="R103" s="137">
        <f t="shared" si="68"/>
        <v>51.239213452625663</v>
      </c>
      <c r="S103" s="137">
        <f t="shared" si="68"/>
        <v>52.153233299019497</v>
      </c>
      <c r="T103" s="137">
        <f t="shared" si="68"/>
        <v>60.028011060777843</v>
      </c>
      <c r="U103" s="206">
        <f t="shared" si="68"/>
        <v>51.379351204037334</v>
      </c>
      <c r="V103" s="137">
        <f t="shared" si="68"/>
        <v>58.887999224292443</v>
      </c>
      <c r="W103" s="206">
        <f t="shared" si="68"/>
        <v>59.572850827464563</v>
      </c>
      <c r="X103" s="142">
        <f t="shared" si="68"/>
        <v>60.55709426267952</v>
      </c>
      <c r="Y103" s="206">
        <f t="shared" si="68"/>
        <v>59.575959480951525</v>
      </c>
      <c r="Z103" s="142">
        <f t="shared" si="68"/>
        <v>59.483235002905687</v>
      </c>
      <c r="AA103" s="206">
        <f t="shared" si="68"/>
        <v>59.791961102644876</v>
      </c>
      <c r="AB103" s="137">
        <f>AB47/AB$101*100</f>
        <v>58.619259009601024</v>
      </c>
      <c r="AC103" s="137">
        <f t="shared" si="68"/>
        <v>59.581016901282837</v>
      </c>
      <c r="AD103" s="137">
        <f>AD47/AD$101*100</f>
        <v>57.772003817164183</v>
      </c>
      <c r="AE103" s="206">
        <f t="shared" si="68"/>
        <v>60.094313963251388</v>
      </c>
      <c r="AF103" s="137">
        <f t="shared" ref="AF103:AN103" si="69">AF47/AF$101*100</f>
        <v>53.660743432451717</v>
      </c>
      <c r="AG103" s="433">
        <f t="shared" si="69"/>
        <v>59.709420584645777</v>
      </c>
      <c r="AH103" s="142">
        <f t="shared" si="69"/>
        <v>52.047489969710156</v>
      </c>
      <c r="AI103" s="142">
        <f t="shared" si="69"/>
        <v>56.070887499502476</v>
      </c>
      <c r="AJ103" s="142">
        <f t="shared" ref="AJ103" si="70">AJ47/AJ$101*100</f>
        <v>54.098712041983475</v>
      </c>
      <c r="AK103" s="433">
        <f t="shared" si="69"/>
        <v>54.533920555331427</v>
      </c>
      <c r="AL103" s="433">
        <f t="shared" ref="AL103:AM103" si="71">AL47/AL$101*100</f>
        <v>56.048772991666787</v>
      </c>
      <c r="AM103" s="142">
        <f t="shared" si="71"/>
        <v>51.511085405272958</v>
      </c>
      <c r="AN103" s="142">
        <f t="shared" si="69"/>
        <v>52.968385221641931</v>
      </c>
      <c r="AO103" s="142">
        <f t="shared" ref="AO103" si="72">AO47/AO$101*100</f>
        <v>52.627526821488111</v>
      </c>
      <c r="AP103" s="134"/>
      <c r="AQ103" s="139"/>
    </row>
    <row r="104" spans="3:43" x14ac:dyDescent="0.25">
      <c r="D104" s="136" t="s">
        <v>39</v>
      </c>
      <c r="E104" s="347">
        <f>E69/E$101*100</f>
        <v>0.67587046896403491</v>
      </c>
      <c r="F104" s="348">
        <f>F69/F$101*100</f>
        <v>0.48465705124110536</v>
      </c>
      <c r="G104" s="347"/>
      <c r="H104" s="349">
        <f>H69/H$101*100</f>
        <v>0.77634839644976295</v>
      </c>
      <c r="I104" s="347"/>
      <c r="J104" s="483">
        <f t="shared" ref="J104:AE104" si="73">J69/J$101*100</f>
        <v>3.6090128847376959</v>
      </c>
      <c r="K104" s="483">
        <f t="shared" si="73"/>
        <v>4.5423403583170723</v>
      </c>
      <c r="L104" s="483">
        <f t="shared" si="73"/>
        <v>5.388823488678069</v>
      </c>
      <c r="M104" s="483">
        <f t="shared" si="73"/>
        <v>6.1001466357942613</v>
      </c>
      <c r="N104" s="483">
        <f t="shared" si="73"/>
        <v>4.7516259758116313</v>
      </c>
      <c r="O104" s="483">
        <f t="shared" si="73"/>
        <v>5.3585899074816377</v>
      </c>
      <c r="P104" s="137">
        <f t="shared" si="73"/>
        <v>3.4603361202008416</v>
      </c>
      <c r="Q104" s="137">
        <f t="shared" si="73"/>
        <v>4.6675169593365613</v>
      </c>
      <c r="R104" s="137">
        <f t="shared" si="73"/>
        <v>3.4444579163694229</v>
      </c>
      <c r="S104" s="137">
        <f t="shared" si="73"/>
        <v>3.9426499091664251</v>
      </c>
      <c r="T104" s="137">
        <f t="shared" si="73"/>
        <v>3.790111992940802</v>
      </c>
      <c r="U104" s="206">
        <f t="shared" si="73"/>
        <v>4.0008007166953021</v>
      </c>
      <c r="V104" s="137">
        <f t="shared" si="73"/>
        <v>3.8991300279794521</v>
      </c>
      <c r="W104" s="206">
        <f t="shared" si="73"/>
        <v>4.2917417891860747</v>
      </c>
      <c r="X104" s="142">
        <f t="shared" si="73"/>
        <v>4.7614674822637255</v>
      </c>
      <c r="Y104" s="206">
        <f t="shared" si="73"/>
        <v>4.801548923416763</v>
      </c>
      <c r="Z104" s="142">
        <f t="shared" si="73"/>
        <v>3.7746329372533616</v>
      </c>
      <c r="AA104" s="206">
        <f t="shared" si="73"/>
        <v>3.8936997384532699</v>
      </c>
      <c r="AB104" s="137">
        <f>AB69/AB$101*100</f>
        <v>3.9295222935478171</v>
      </c>
      <c r="AC104" s="137">
        <f t="shared" si="73"/>
        <v>3.9302543368067426</v>
      </c>
      <c r="AD104" s="137">
        <f>AD69/AD$101*100</f>
        <v>3.9499887989867934</v>
      </c>
      <c r="AE104" s="206">
        <f t="shared" si="73"/>
        <v>3.9224711568288022</v>
      </c>
      <c r="AF104" s="137">
        <f t="shared" ref="AF104:AN104" si="74">AF69/AF$101*100</f>
        <v>3.3199218803791277</v>
      </c>
      <c r="AG104" s="433">
        <f t="shared" si="74"/>
        <v>4.0310964678954448</v>
      </c>
      <c r="AH104" s="142">
        <f t="shared" si="74"/>
        <v>3.3764351000063981</v>
      </c>
      <c r="AI104" s="142">
        <f t="shared" si="74"/>
        <v>3.9243532451431458</v>
      </c>
      <c r="AJ104" s="142">
        <f t="shared" ref="AJ104" si="75">AJ69/AJ$101*100</f>
        <v>3.219266922311101</v>
      </c>
      <c r="AK104" s="433">
        <f t="shared" si="74"/>
        <v>3.4618561850421683</v>
      </c>
      <c r="AL104" s="433">
        <f t="shared" ref="AL104:AM104" si="76">AL69/AL$101*100</f>
        <v>3.449834081147328</v>
      </c>
      <c r="AM104" s="142">
        <f t="shared" si="76"/>
        <v>3.4000561286342936</v>
      </c>
      <c r="AN104" s="142">
        <f t="shared" si="74"/>
        <v>3.3328351618954812</v>
      </c>
      <c r="AO104" s="142">
        <f t="shared" ref="AO104" si="77">AO69/AO$101*100</f>
        <v>3.332955246087272</v>
      </c>
      <c r="AP104" s="143"/>
      <c r="AQ104" s="139"/>
    </row>
    <row r="105" spans="3:43" x14ac:dyDescent="0.25">
      <c r="D105" s="136" t="s">
        <v>40</v>
      </c>
      <c r="E105" s="347">
        <f>E71/E$101*100</f>
        <v>57.300407535222199</v>
      </c>
      <c r="F105" s="348">
        <f>F71/F$101*100</f>
        <v>56.616407118310619</v>
      </c>
      <c r="G105" s="347"/>
      <c r="H105" s="349">
        <f>H71/H$101*100</f>
        <v>54.25800072911214</v>
      </c>
      <c r="I105" s="347"/>
      <c r="J105" s="483">
        <f t="shared" ref="J105:AE105" si="78">J71/J$101*100</f>
        <v>60.971179064266465</v>
      </c>
      <c r="K105" s="483">
        <f t="shared" si="78"/>
        <v>58.916780528518331</v>
      </c>
      <c r="L105" s="483">
        <f t="shared" si="78"/>
        <v>54.444752210142425</v>
      </c>
      <c r="M105" s="483">
        <f t="shared" si="78"/>
        <v>58.709824598215491</v>
      </c>
      <c r="N105" s="483">
        <f t="shared" si="78"/>
        <v>56.756506164687146</v>
      </c>
      <c r="O105" s="483">
        <f t="shared" si="78"/>
        <v>56.680389140467582</v>
      </c>
      <c r="P105" s="137">
        <f t="shared" si="78"/>
        <v>54.048073708210389</v>
      </c>
      <c r="Q105" s="137">
        <f t="shared" si="78"/>
        <v>60.01082701318726</v>
      </c>
      <c r="R105" s="137">
        <f t="shared" si="78"/>
        <v>54.683671368995093</v>
      </c>
      <c r="S105" s="137">
        <f t="shared" si="78"/>
        <v>56.095883208185924</v>
      </c>
      <c r="T105" s="137">
        <f t="shared" si="78"/>
        <v>63.818123053718644</v>
      </c>
      <c r="U105" s="206">
        <f t="shared" si="78"/>
        <v>55.380151920732636</v>
      </c>
      <c r="V105" s="137">
        <f t="shared" si="78"/>
        <v>62.787129252271889</v>
      </c>
      <c r="W105" s="206">
        <f t="shared" si="78"/>
        <v>63.86459261665064</v>
      </c>
      <c r="X105" s="142">
        <f t="shared" si="78"/>
        <v>65.318561744943253</v>
      </c>
      <c r="Y105" s="206">
        <f t="shared" si="78"/>
        <v>64.377508404368271</v>
      </c>
      <c r="Z105" s="142">
        <f t="shared" si="78"/>
        <v>63.257867940159052</v>
      </c>
      <c r="AA105" s="206">
        <f t="shared" si="78"/>
        <v>63.685660841098148</v>
      </c>
      <c r="AB105" s="137">
        <f>AB71/AB$101*100</f>
        <v>62.548781303148836</v>
      </c>
      <c r="AC105" s="137">
        <f t="shared" si="78"/>
        <v>63.51127123808957</v>
      </c>
      <c r="AD105" s="137">
        <f>AD71/AD$101*100</f>
        <v>61.721992616150978</v>
      </c>
      <c r="AE105" s="206">
        <f t="shared" si="78"/>
        <v>64.0167851200802</v>
      </c>
      <c r="AF105" s="137">
        <f t="shared" ref="AF105:AN105" si="79">AF71/AF$101*100</f>
        <v>56.980665312830844</v>
      </c>
      <c r="AG105" s="433">
        <f t="shared" si="79"/>
        <v>63.740517052541222</v>
      </c>
      <c r="AH105" s="142">
        <f t="shared" si="79"/>
        <v>55.42392506971656</v>
      </c>
      <c r="AI105" s="142">
        <f t="shared" si="79"/>
        <v>59.995240744645628</v>
      </c>
      <c r="AJ105" s="142">
        <f t="shared" ref="AJ105" si="80">AJ71/AJ$101*100</f>
        <v>57.317978964294582</v>
      </c>
      <c r="AK105" s="433">
        <f t="shared" si="79"/>
        <v>57.995776740373593</v>
      </c>
      <c r="AL105" s="433">
        <f t="shared" ref="AL105:AM105" si="81">AL71/AL$101*100</f>
        <v>59.49860707281411</v>
      </c>
      <c r="AM105" s="142">
        <f t="shared" si="81"/>
        <v>54.911141533907248</v>
      </c>
      <c r="AN105" s="142">
        <f t="shared" si="79"/>
        <v>56.301220383537412</v>
      </c>
      <c r="AO105" s="142">
        <f t="shared" ref="AO105" si="82">AO71/AO$101*100</f>
        <v>55.960482067575391</v>
      </c>
      <c r="AP105" s="143"/>
      <c r="AQ105" s="139"/>
    </row>
    <row r="106" spans="3:43" ht="22.5" customHeight="1" x14ac:dyDescent="0.25">
      <c r="F106" s="356"/>
    </row>
    <row r="107" spans="3:43" ht="13.5" customHeight="1" x14ac:dyDescent="0.25">
      <c r="D107" s="510" t="s">
        <v>128</v>
      </c>
      <c r="E107" s="357"/>
      <c r="F107" s="357"/>
      <c r="G107" s="357"/>
      <c r="H107" s="357"/>
      <c r="I107" s="357"/>
      <c r="J107" s="445"/>
      <c r="K107" s="445"/>
      <c r="L107" s="445"/>
      <c r="M107" s="445"/>
      <c r="N107" s="445"/>
      <c r="O107" s="445"/>
      <c r="P107" s="147"/>
      <c r="Q107" s="147"/>
      <c r="R107" s="147"/>
      <c r="S107" s="147"/>
      <c r="T107" s="147"/>
      <c r="U107" s="147"/>
      <c r="V107" s="147"/>
      <c r="W107" s="147"/>
      <c r="X107" s="147"/>
      <c r="Y107" s="147"/>
      <c r="Z107" s="147"/>
      <c r="AA107" s="147"/>
      <c r="AB107" s="147"/>
      <c r="AC107" s="147"/>
      <c r="AD107" s="147"/>
      <c r="AE107" s="147"/>
      <c r="AF107" s="147"/>
      <c r="AG107" s="147"/>
      <c r="AH107" s="147"/>
      <c r="AI107" s="147"/>
      <c r="AJ107" s="147"/>
      <c r="AK107" s="147"/>
      <c r="AL107" s="511"/>
      <c r="AM107" s="147"/>
      <c r="AN107" s="147"/>
      <c r="AO107" s="147"/>
      <c r="AP107" s="147"/>
      <c r="AQ107" s="3"/>
    </row>
    <row r="108" spans="3:43" ht="12.75" hidden="1" customHeight="1" x14ac:dyDescent="0.25">
      <c r="D108" s="381" t="s">
        <v>107</v>
      </c>
    </row>
    <row r="109" spans="3:43" ht="12.75" hidden="1" customHeight="1" x14ac:dyDescent="0.25">
      <c r="C109" s="148"/>
      <c r="D109" s="402" t="s">
        <v>115</v>
      </c>
      <c r="E109" s="403">
        <f>E101-E95</f>
        <v>-46061</v>
      </c>
      <c r="F109" s="403">
        <f>F101-F95</f>
        <v>-67704</v>
      </c>
      <c r="G109" s="404"/>
      <c r="H109" s="403">
        <f>H101-H95</f>
        <v>-45715</v>
      </c>
      <c r="I109" s="404"/>
      <c r="J109" s="486">
        <f t="shared" ref="J109:V109" si="83">J101-J95</f>
        <v>-109053</v>
      </c>
      <c r="K109" s="486">
        <f t="shared" si="83"/>
        <v>-93685</v>
      </c>
      <c r="L109" s="486">
        <f t="shared" si="83"/>
        <v>-56338</v>
      </c>
      <c r="M109" s="486">
        <f t="shared" si="83"/>
        <v>-72551</v>
      </c>
      <c r="N109" s="486">
        <f t="shared" si="83"/>
        <v>-74400</v>
      </c>
      <c r="O109" s="486">
        <f t="shared" si="83"/>
        <v>-97580</v>
      </c>
      <c r="P109" s="405">
        <f t="shared" si="83"/>
        <v>-66392</v>
      </c>
      <c r="Q109" s="405">
        <f t="shared" si="83"/>
        <v>-91300</v>
      </c>
      <c r="R109" s="405">
        <f t="shared" si="83"/>
        <v>-20003</v>
      </c>
      <c r="S109" s="405">
        <f t="shared" si="83"/>
        <v>-70800</v>
      </c>
      <c r="T109" s="405">
        <f t="shared" si="83"/>
        <v>-192394</v>
      </c>
      <c r="U109" s="405">
        <f t="shared" si="83"/>
        <v>-38100</v>
      </c>
      <c r="V109" s="405">
        <f t="shared" si="83"/>
        <v>-156416</v>
      </c>
      <c r="W109" s="405">
        <f t="shared" ref="W109:AG109" si="84">W101-W95</f>
        <v>-162700</v>
      </c>
      <c r="X109" s="405">
        <f t="shared" si="84"/>
        <v>-142771</v>
      </c>
      <c r="Y109" s="405">
        <f t="shared" si="84"/>
        <v>-135000</v>
      </c>
      <c r="Z109" s="405">
        <f t="shared" si="84"/>
        <v>-101000</v>
      </c>
      <c r="AA109" s="405">
        <f t="shared" si="84"/>
        <v>-105000</v>
      </c>
      <c r="AB109" s="405">
        <f t="shared" si="84"/>
        <v>-81265</v>
      </c>
      <c r="AC109" s="405">
        <f t="shared" si="84"/>
        <v>-100000</v>
      </c>
      <c r="AD109" s="405">
        <f t="shared" si="84"/>
        <v>-77782</v>
      </c>
      <c r="AE109" s="405">
        <f t="shared" si="84"/>
        <v>-112301</v>
      </c>
      <c r="AF109" s="405">
        <f t="shared" si="84"/>
        <v>-62804</v>
      </c>
      <c r="AG109" s="405">
        <f t="shared" si="84"/>
        <v>-100000</v>
      </c>
      <c r="AH109" s="405">
        <f>AH101-AH95</f>
        <v>61774</v>
      </c>
      <c r="AI109" s="405">
        <f t="shared" ref="AI109:AJ109" si="85">AI101-AI95</f>
        <v>-70000</v>
      </c>
      <c r="AJ109" s="405">
        <f t="shared" si="85"/>
        <v>-6152</v>
      </c>
      <c r="AK109" s="405">
        <f>AK101-AK95</f>
        <v>-60000</v>
      </c>
      <c r="AL109" s="436">
        <f>AL101-AL95</f>
        <v>-50000</v>
      </c>
      <c r="AM109" s="405">
        <f>AM101-AM95</f>
        <v>2944</v>
      </c>
      <c r="AN109" s="405">
        <f>AN101-AN95</f>
        <v>-40000</v>
      </c>
      <c r="AO109" s="405">
        <f>AO101-AO95</f>
        <v>-40000</v>
      </c>
    </row>
    <row r="113" spans="4:4" x14ac:dyDescent="0.25">
      <c r="D113" s="444"/>
    </row>
  </sheetData>
  <mergeCells count="20">
    <mergeCell ref="AP25:AP26"/>
    <mergeCell ref="AC25:AC26"/>
    <mergeCell ref="X25:X26"/>
    <mergeCell ref="Z25:Z26"/>
    <mergeCell ref="AE25:AE26"/>
    <mergeCell ref="AB25:AB26"/>
    <mergeCell ref="AG25:AG26"/>
    <mergeCell ref="AI25:AI26"/>
    <mergeCell ref="AD25:AD26"/>
    <mergeCell ref="AF25:AF26"/>
    <mergeCell ref="AK25:AK26"/>
    <mergeCell ref="AH25:AH26"/>
    <mergeCell ref="AN25:AN26"/>
    <mergeCell ref="AL25:AL26"/>
    <mergeCell ref="AJ25:AJ26"/>
    <mergeCell ref="AM25:AM26"/>
    <mergeCell ref="AO25:AO26"/>
    <mergeCell ref="V25:V26"/>
    <mergeCell ref="AA25:AA26"/>
    <mergeCell ref="Y25:Y26"/>
  </mergeCells>
  <phoneticPr fontId="0" type="noConversion"/>
  <printOptions horizontalCentered="1"/>
  <pageMargins left="0.39370078740157483" right="0.35433070866141736" top="0.74803149606299213" bottom="0.47244094488188981" header="0.55118110236220474" footer="0.31496062992125984"/>
  <pageSetup paperSize="9" scale="61" orientation="landscape" useFirstPageNumber="1" r:id="rId1"/>
  <headerFooter alignWithMargins="0">
    <oddFooter>&amp;CStrana &amp;P</oddFooter>
  </headerFooter>
  <rowBreaks count="2" manualBreakCount="2">
    <brk id="47" max="16383" man="1"/>
    <brk id="86" min="2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AT44"/>
  <sheetViews>
    <sheetView tabSelected="1" zoomScaleNormal="100" workbookViewId="0">
      <pane xSplit="4" ySplit="8" topLeftCell="Z9" activePane="bottomRight" state="frozen"/>
      <selection activeCell="AC58" sqref="AC58"/>
      <selection pane="topRight" activeCell="AC58" sqref="AC58"/>
      <selection pane="bottomLeft" activeCell="AC58" sqref="AC58"/>
      <selection pane="bottomRight" activeCell="AR9" sqref="AR9"/>
    </sheetView>
  </sheetViews>
  <sheetFormatPr defaultColWidth="9.109375" defaultRowHeight="13.2" x14ac:dyDescent="0.25"/>
  <cols>
    <col min="1" max="1" width="1.6640625" style="3" customWidth="1"/>
    <col min="2" max="2" width="1.5546875" style="3" customWidth="1"/>
    <col min="3" max="3" width="4.44140625" style="3" customWidth="1"/>
    <col min="4" max="4" width="51.44140625" style="3" customWidth="1"/>
    <col min="5" max="6" width="10.33203125" style="287" hidden="1" customWidth="1"/>
    <col min="7" max="7" width="1" style="287" hidden="1" customWidth="1"/>
    <col min="8" max="8" width="10.33203125" style="287" hidden="1" customWidth="1"/>
    <col min="9" max="9" width="0.88671875" style="287" hidden="1" customWidth="1"/>
    <col min="10" max="10" width="10.33203125" style="446" hidden="1" customWidth="1"/>
    <col min="11" max="12" width="9.5546875" style="446" hidden="1" customWidth="1"/>
    <col min="13" max="15" width="10.109375" style="446" hidden="1" customWidth="1"/>
    <col min="16" max="16" width="10.109375" style="3" hidden="1" customWidth="1"/>
    <col min="17" max="19" width="9.44140625" style="3" hidden="1" customWidth="1"/>
    <col min="20" max="20" width="9.44140625" style="3" customWidth="1"/>
    <col min="21" max="21" width="9.44140625" style="3" hidden="1" customWidth="1"/>
    <col min="22" max="22" width="9.44140625" style="3" customWidth="1"/>
    <col min="23" max="23" width="9.44140625" style="3" hidden="1" customWidth="1"/>
    <col min="24" max="24" width="9.44140625" style="3" customWidth="1"/>
    <col min="25" max="25" width="9.44140625" style="3" hidden="1" customWidth="1"/>
    <col min="26" max="26" width="9.44140625" style="3" customWidth="1"/>
    <col min="27" max="27" width="9.44140625" style="3" hidden="1" customWidth="1"/>
    <col min="28" max="28" width="9.44140625" style="3" customWidth="1"/>
    <col min="29" max="29" width="9.44140625" style="3" hidden="1" customWidth="1"/>
    <col min="30" max="30" width="9.44140625" style="3" customWidth="1"/>
    <col min="31" max="31" width="9.44140625" style="3" hidden="1" customWidth="1"/>
    <col min="32" max="32" width="9.44140625" style="3" customWidth="1"/>
    <col min="33" max="33" width="9.44140625" style="3" hidden="1" customWidth="1"/>
    <col min="34" max="34" width="9.44140625" style="3" customWidth="1"/>
    <col min="35" max="35" width="9.44140625" style="3" hidden="1" customWidth="1"/>
    <col min="36" max="36" width="9.44140625" style="3" customWidth="1"/>
    <col min="37" max="37" width="9.44140625" style="3" hidden="1" customWidth="1"/>
    <col min="38" max="38" width="9.44140625" style="522" hidden="1" customWidth="1"/>
    <col min="39" max="41" width="9.44140625" style="3" customWidth="1"/>
    <col min="42" max="42" width="11.44140625" style="3" customWidth="1"/>
    <col min="43" max="43" width="9.109375" style="3"/>
    <col min="44" max="44" width="10.44140625" style="3" bestFit="1" customWidth="1"/>
    <col min="45" max="46" width="0" style="3" hidden="1" customWidth="1"/>
    <col min="47" max="16384" width="9.109375" style="3"/>
  </cols>
  <sheetData>
    <row r="2" spans="3:46" x14ac:dyDescent="0.25">
      <c r="AP2" s="151"/>
      <c r="AQ2" s="151"/>
    </row>
    <row r="3" spans="3:46" ht="15.6" x14ac:dyDescent="0.3">
      <c r="D3" s="281" t="s">
        <v>46</v>
      </c>
      <c r="E3" s="288"/>
      <c r="F3" s="288"/>
      <c r="G3" s="288"/>
      <c r="H3" s="288"/>
      <c r="I3" s="288"/>
      <c r="J3" s="448"/>
      <c r="K3" s="448"/>
      <c r="L3" s="448"/>
      <c r="M3" s="448"/>
      <c r="N3" s="448"/>
      <c r="O3" s="448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523"/>
      <c r="AM3" s="6"/>
      <c r="AN3" s="6"/>
      <c r="AO3" s="6"/>
      <c r="AP3" s="6"/>
      <c r="AQ3" s="6"/>
    </row>
    <row r="4" spans="3:46" ht="13.8" thickBot="1" x14ac:dyDescent="0.3"/>
    <row r="5" spans="3:46" ht="13.8" thickTop="1" x14ac:dyDescent="0.25">
      <c r="C5" s="152" t="s">
        <v>1</v>
      </c>
      <c r="D5" s="257"/>
      <c r="E5" s="289">
        <v>2000</v>
      </c>
      <c r="F5" s="358">
        <v>2001</v>
      </c>
      <c r="G5" s="289"/>
      <c r="H5" s="358">
        <v>2002</v>
      </c>
      <c r="I5" s="289"/>
      <c r="J5" s="487">
        <v>2003</v>
      </c>
      <c r="K5" s="449">
        <v>2004</v>
      </c>
      <c r="L5" s="449">
        <v>2005</v>
      </c>
      <c r="M5" s="449">
        <v>2005</v>
      </c>
      <c r="N5" s="449">
        <v>2006</v>
      </c>
      <c r="O5" s="449">
        <v>2006</v>
      </c>
      <c r="P5" s="437">
        <v>2007</v>
      </c>
      <c r="Q5" s="437">
        <v>2007</v>
      </c>
      <c r="R5" s="437">
        <v>2008</v>
      </c>
      <c r="S5" s="153">
        <v>2008</v>
      </c>
      <c r="T5" s="9">
        <v>2009</v>
      </c>
      <c r="U5" s="153">
        <v>2009</v>
      </c>
      <c r="V5" s="9">
        <v>2010</v>
      </c>
      <c r="W5" s="153">
        <v>2010</v>
      </c>
      <c r="X5" s="9">
        <v>2011</v>
      </c>
      <c r="Y5" s="153">
        <v>2011</v>
      </c>
      <c r="Z5" s="9">
        <v>2012</v>
      </c>
      <c r="AA5" s="153">
        <v>2012</v>
      </c>
      <c r="AB5" s="9">
        <v>2013</v>
      </c>
      <c r="AC5" s="153">
        <v>2013</v>
      </c>
      <c r="AD5" s="9">
        <v>2014</v>
      </c>
      <c r="AE5" s="153">
        <v>2014</v>
      </c>
      <c r="AF5" s="9">
        <v>2015</v>
      </c>
      <c r="AG5" s="437">
        <v>2015</v>
      </c>
      <c r="AH5" s="9">
        <v>2016</v>
      </c>
      <c r="AI5" s="437">
        <v>2016</v>
      </c>
      <c r="AJ5" s="9">
        <v>2017</v>
      </c>
      <c r="AK5" s="437">
        <v>2017</v>
      </c>
      <c r="AL5" s="437">
        <v>2018</v>
      </c>
      <c r="AM5" s="9">
        <v>2018</v>
      </c>
      <c r="AN5" s="9">
        <v>2019</v>
      </c>
      <c r="AO5" s="524">
        <v>2020</v>
      </c>
      <c r="AP5" s="11" t="s">
        <v>2</v>
      </c>
      <c r="AQ5" s="22"/>
    </row>
    <row r="6" spans="3:46" x14ac:dyDescent="0.25">
      <c r="C6" s="154"/>
      <c r="D6" s="258" t="s">
        <v>3</v>
      </c>
      <c r="E6" s="284" t="s">
        <v>4</v>
      </c>
      <c r="F6" s="359" t="s">
        <v>4</v>
      </c>
      <c r="G6" s="292"/>
      <c r="H6" s="293" t="s">
        <v>65</v>
      </c>
      <c r="I6" s="292"/>
      <c r="J6" s="488" t="s">
        <v>65</v>
      </c>
      <c r="K6" s="489" t="s">
        <v>4</v>
      </c>
      <c r="L6" s="489" t="s">
        <v>4</v>
      </c>
      <c r="M6" s="489" t="s">
        <v>5</v>
      </c>
      <c r="N6" s="489" t="s">
        <v>5</v>
      </c>
      <c r="O6" s="489" t="s">
        <v>86</v>
      </c>
      <c r="P6" s="438" t="s">
        <v>86</v>
      </c>
      <c r="Q6" s="438" t="s">
        <v>5</v>
      </c>
      <c r="R6" s="438" t="s">
        <v>4</v>
      </c>
      <c r="S6" s="198" t="s">
        <v>5</v>
      </c>
      <c r="T6" s="197" t="s">
        <v>86</v>
      </c>
      <c r="U6" s="198" t="s">
        <v>5</v>
      </c>
      <c r="V6" s="197" t="s">
        <v>86</v>
      </c>
      <c r="W6" s="198" t="s">
        <v>5</v>
      </c>
      <c r="X6" s="197" t="s">
        <v>86</v>
      </c>
      <c r="Y6" s="198" t="s">
        <v>5</v>
      </c>
      <c r="Z6" s="197" t="s">
        <v>86</v>
      </c>
      <c r="AA6" s="198" t="s">
        <v>5</v>
      </c>
      <c r="AB6" s="197" t="s">
        <v>86</v>
      </c>
      <c r="AC6" s="198" t="s">
        <v>5</v>
      </c>
      <c r="AD6" s="197" t="s">
        <v>86</v>
      </c>
      <c r="AE6" s="198" t="s">
        <v>5</v>
      </c>
      <c r="AF6" s="197" t="s">
        <v>4</v>
      </c>
      <c r="AG6" s="438" t="s">
        <v>5</v>
      </c>
      <c r="AH6" s="197" t="s">
        <v>4</v>
      </c>
      <c r="AI6" s="438" t="s">
        <v>5</v>
      </c>
      <c r="AJ6" s="197" t="s">
        <v>4</v>
      </c>
      <c r="AK6" s="438" t="s">
        <v>5</v>
      </c>
      <c r="AL6" s="438" t="s">
        <v>5</v>
      </c>
      <c r="AM6" s="197" t="s">
        <v>4</v>
      </c>
      <c r="AN6" s="197" t="s">
        <v>5</v>
      </c>
      <c r="AO6" s="525" t="s">
        <v>5</v>
      </c>
      <c r="AP6" s="199" t="s">
        <v>125</v>
      </c>
      <c r="AQ6" s="155"/>
    </row>
    <row r="7" spans="3:46" ht="13.8" thickBot="1" x14ac:dyDescent="0.3">
      <c r="C7" s="156"/>
      <c r="D7" s="259" t="s">
        <v>6</v>
      </c>
      <c r="E7" s="296"/>
      <c r="F7" s="360"/>
      <c r="G7" s="296"/>
      <c r="H7" s="360"/>
      <c r="I7" s="296"/>
      <c r="J7" s="490">
        <v>1</v>
      </c>
      <c r="K7" s="491">
        <v>2</v>
      </c>
      <c r="L7" s="491">
        <v>1</v>
      </c>
      <c r="M7" s="491"/>
      <c r="N7" s="491"/>
      <c r="O7" s="491">
        <v>1</v>
      </c>
      <c r="P7" s="409"/>
      <c r="Q7" s="409"/>
      <c r="R7" s="409"/>
      <c r="S7" s="158"/>
      <c r="T7" s="157">
        <v>1</v>
      </c>
      <c r="U7" s="158"/>
      <c r="V7" s="157">
        <v>2</v>
      </c>
      <c r="W7" s="158"/>
      <c r="X7" s="157">
        <v>3</v>
      </c>
      <c r="Y7" s="158"/>
      <c r="Z7" s="157">
        <v>4</v>
      </c>
      <c r="AA7" s="158">
        <v>13</v>
      </c>
      <c r="AB7" s="157">
        <v>5</v>
      </c>
      <c r="AC7" s="158"/>
      <c r="AD7" s="157">
        <v>6</v>
      </c>
      <c r="AE7" s="158">
        <v>12</v>
      </c>
      <c r="AF7" s="157">
        <v>7</v>
      </c>
      <c r="AG7" s="409"/>
      <c r="AH7" s="157">
        <v>8</v>
      </c>
      <c r="AI7" s="409"/>
      <c r="AJ7" s="157">
        <v>9</v>
      </c>
      <c r="AK7" s="409"/>
      <c r="AL7" s="409"/>
      <c r="AM7" s="157">
        <v>10</v>
      </c>
      <c r="AN7" s="157">
        <v>11</v>
      </c>
      <c r="AO7" s="526">
        <v>12</v>
      </c>
      <c r="AP7" s="28" t="s">
        <v>126</v>
      </c>
      <c r="AQ7" s="155"/>
    </row>
    <row r="8" spans="3:46" ht="13.8" thickTop="1" x14ac:dyDescent="0.25">
      <c r="C8" s="159"/>
      <c r="D8" s="260"/>
      <c r="E8" s="297"/>
      <c r="F8" s="361"/>
      <c r="G8" s="297"/>
      <c r="H8" s="361"/>
      <c r="I8" s="297"/>
      <c r="J8" s="492"/>
      <c r="K8" s="493"/>
      <c r="L8" s="455"/>
      <c r="M8" s="455"/>
      <c r="N8" s="455"/>
      <c r="O8" s="455"/>
      <c r="P8" s="518"/>
      <c r="Q8" s="518"/>
      <c r="R8" s="518"/>
      <c r="S8" s="234"/>
      <c r="T8" s="160"/>
      <c r="U8" s="234"/>
      <c r="V8" s="160"/>
      <c r="W8" s="234"/>
      <c r="X8" s="160"/>
      <c r="Y8" s="234"/>
      <c r="Z8" s="160"/>
      <c r="AA8" s="234"/>
      <c r="AB8" s="160"/>
      <c r="AC8" s="234"/>
      <c r="AD8" s="160"/>
      <c r="AE8" s="234"/>
      <c r="AF8" s="160"/>
      <c r="AG8" s="410"/>
      <c r="AH8" s="160"/>
      <c r="AI8" s="410"/>
      <c r="AJ8" s="160"/>
      <c r="AK8" s="410"/>
      <c r="AL8" s="410"/>
      <c r="AM8" s="160"/>
      <c r="AN8" s="160"/>
      <c r="AO8" s="527"/>
      <c r="AP8" s="33"/>
      <c r="AQ8" s="34"/>
    </row>
    <row r="9" spans="3:46" x14ac:dyDescent="0.25">
      <c r="C9" s="162"/>
      <c r="D9" s="261"/>
      <c r="E9" s="305"/>
      <c r="F9" s="362"/>
      <c r="G9" s="305"/>
      <c r="H9" s="362"/>
      <c r="I9" s="305"/>
      <c r="J9" s="494"/>
      <c r="K9" s="495"/>
      <c r="L9" s="460"/>
      <c r="M9" s="496"/>
      <c r="N9" s="496"/>
      <c r="O9" s="496"/>
      <c r="P9" s="165"/>
      <c r="Q9" s="164"/>
      <c r="R9" s="165"/>
      <c r="S9" s="235"/>
      <c r="T9" s="211"/>
      <c r="U9" s="235"/>
      <c r="V9" s="211"/>
      <c r="W9" s="235"/>
      <c r="X9" s="211"/>
      <c r="Y9" s="235"/>
      <c r="Z9" s="211"/>
      <c r="AA9" s="235"/>
      <c r="AB9" s="211"/>
      <c r="AC9" s="235"/>
      <c r="AD9" s="211"/>
      <c r="AE9" s="235"/>
      <c r="AF9" s="211"/>
      <c r="AG9" s="439"/>
      <c r="AH9" s="211"/>
      <c r="AI9" s="439"/>
      <c r="AJ9" s="211"/>
      <c r="AK9" s="439"/>
      <c r="AL9" s="439"/>
      <c r="AM9" s="211"/>
      <c r="AN9" s="211"/>
      <c r="AO9" s="528"/>
      <c r="AP9" s="56"/>
      <c r="AQ9" s="166"/>
    </row>
    <row r="10" spans="3:46" ht="15.6" x14ac:dyDescent="0.25">
      <c r="C10" s="167"/>
      <c r="D10" s="262" t="s">
        <v>44</v>
      </c>
      <c r="E10" s="305"/>
      <c r="F10" s="362"/>
      <c r="G10" s="305"/>
      <c r="H10" s="362"/>
      <c r="I10" s="305"/>
      <c r="J10" s="494"/>
      <c r="K10" s="495"/>
      <c r="L10" s="460"/>
      <c r="M10" s="496"/>
      <c r="N10" s="496"/>
      <c r="O10" s="496"/>
      <c r="P10" s="165"/>
      <c r="Q10" s="164"/>
      <c r="R10" s="165"/>
      <c r="S10" s="235"/>
      <c r="T10" s="211"/>
      <c r="U10" s="235"/>
      <c r="V10" s="211"/>
      <c r="W10" s="235"/>
      <c r="X10" s="211"/>
      <c r="Y10" s="235"/>
      <c r="Z10" s="211"/>
      <c r="AA10" s="235"/>
      <c r="AB10" s="211"/>
      <c r="AC10" s="235"/>
      <c r="AD10" s="211"/>
      <c r="AE10" s="235"/>
      <c r="AF10" s="211"/>
      <c r="AG10" s="439"/>
      <c r="AH10" s="211"/>
      <c r="AI10" s="439"/>
      <c r="AJ10" s="211"/>
      <c r="AK10" s="439"/>
      <c r="AL10" s="439"/>
      <c r="AM10" s="211"/>
      <c r="AN10" s="211"/>
      <c r="AO10" s="528"/>
      <c r="AP10" s="56"/>
      <c r="AQ10" s="166"/>
    </row>
    <row r="11" spans="3:46" x14ac:dyDescent="0.25">
      <c r="C11" s="168"/>
      <c r="D11" s="263"/>
      <c r="E11" s="305"/>
      <c r="F11" s="362"/>
      <c r="G11" s="305"/>
      <c r="H11" s="362"/>
      <c r="I11" s="305"/>
      <c r="J11" s="494"/>
      <c r="K11" s="495"/>
      <c r="L11" s="460"/>
      <c r="M11" s="496"/>
      <c r="N11" s="496"/>
      <c r="O11" s="496"/>
      <c r="P11" s="165"/>
      <c r="Q11" s="164"/>
      <c r="R11" s="165"/>
      <c r="S11" s="235"/>
      <c r="T11" s="211"/>
      <c r="U11" s="235"/>
      <c r="V11" s="211"/>
      <c r="W11" s="235"/>
      <c r="X11" s="211"/>
      <c r="Y11" s="235"/>
      <c r="Z11" s="211"/>
      <c r="AA11" s="235"/>
      <c r="AB11" s="211"/>
      <c r="AC11" s="235"/>
      <c r="AD11" s="211"/>
      <c r="AE11" s="235"/>
      <c r="AF11" s="211"/>
      <c r="AG11" s="439"/>
      <c r="AH11" s="211"/>
      <c r="AI11" s="439"/>
      <c r="AJ11" s="211"/>
      <c r="AK11" s="439"/>
      <c r="AL11" s="439"/>
      <c r="AM11" s="211"/>
      <c r="AN11" s="211"/>
      <c r="AO11" s="528"/>
      <c r="AP11" s="56"/>
      <c r="AQ11" s="166"/>
    </row>
    <row r="12" spans="3:46" ht="26.4" x14ac:dyDescent="0.25">
      <c r="C12" s="169">
        <v>1</v>
      </c>
      <c r="D12" s="170" t="s">
        <v>68</v>
      </c>
      <c r="E12" s="363">
        <v>3422</v>
      </c>
      <c r="F12" s="364">
        <v>4058</v>
      </c>
      <c r="G12" s="365"/>
      <c r="H12" s="364">
        <v>3495</v>
      </c>
      <c r="I12" s="365"/>
      <c r="J12" s="497">
        <v>3191</v>
      </c>
      <c r="K12" s="486">
        <v>3937</v>
      </c>
      <c r="L12" s="498">
        <f>4172-118</f>
        <v>4054</v>
      </c>
      <c r="M12" s="498">
        <f>5922-1422-89</f>
        <v>4411</v>
      </c>
      <c r="N12" s="498">
        <f>4800+1000-50</f>
        <v>5750</v>
      </c>
      <c r="O12" s="498">
        <f>4024+329</f>
        <v>4353</v>
      </c>
      <c r="P12" s="171">
        <f>3574</f>
        <v>3574</v>
      </c>
      <c r="Q12" s="173">
        <f>5000-28-100-20-2-50</f>
        <v>4800</v>
      </c>
      <c r="R12" s="171">
        <f>6132-1949</f>
        <v>4183</v>
      </c>
      <c r="S12" s="236">
        <f>5000-200</f>
        <v>4800</v>
      </c>
      <c r="T12" s="172">
        <v>2695</v>
      </c>
      <c r="U12" s="236">
        <v>4000</v>
      </c>
      <c r="V12" s="172">
        <v>1997</v>
      </c>
      <c r="W12" s="236">
        <v>4000</v>
      </c>
      <c r="X12" s="172">
        <v>1983</v>
      </c>
      <c r="Y12" s="236">
        <v>3000</v>
      </c>
      <c r="Z12" s="172">
        <v>1319</v>
      </c>
      <c r="AA12" s="236">
        <v>3180</v>
      </c>
      <c r="AB12" s="172">
        <v>1538</v>
      </c>
      <c r="AC12" s="236">
        <v>3100</v>
      </c>
      <c r="AD12" s="172">
        <v>1535</v>
      </c>
      <c r="AE12" s="236">
        <v>3000</v>
      </c>
      <c r="AF12" s="172">
        <v>2095</v>
      </c>
      <c r="AG12" s="436">
        <v>3000</v>
      </c>
      <c r="AH12" s="172">
        <v>2028</v>
      </c>
      <c r="AI12" s="436">
        <f>3000-100-520</f>
        <v>2380</v>
      </c>
      <c r="AJ12" s="172">
        <v>2289</v>
      </c>
      <c r="AK12" s="436">
        <v>1977</v>
      </c>
      <c r="AL12" s="436">
        <v>400</v>
      </c>
      <c r="AM12" s="172">
        <v>1775</v>
      </c>
      <c r="AN12" s="172">
        <f>500-200</f>
        <v>300</v>
      </c>
      <c r="AO12" s="529">
        <f>1511</f>
        <v>1511</v>
      </c>
      <c r="AP12" s="174">
        <f>IF(AN12=0," ",IF(AN12&gt;0,ROUND(AO12/AN12*100,1)))</f>
        <v>503.7</v>
      </c>
      <c r="AQ12" s="175"/>
      <c r="AS12" s="511">
        <v>400</v>
      </c>
      <c r="AT12" s="511">
        <f>AN12-AS12</f>
        <v>-100</v>
      </c>
    </row>
    <row r="13" spans="3:46" x14ac:dyDescent="0.25">
      <c r="C13" s="169">
        <v>2</v>
      </c>
      <c r="D13" s="170" t="s">
        <v>56</v>
      </c>
      <c r="E13" s="363">
        <f>44670-2563-1373</f>
        <v>40734</v>
      </c>
      <c r="F13" s="364">
        <f>44977-2741-1622</f>
        <v>40614</v>
      </c>
      <c r="G13" s="363"/>
      <c r="H13" s="364">
        <f>48924-4807</f>
        <v>44117</v>
      </c>
      <c r="I13" s="363"/>
      <c r="J13" s="497">
        <f>53194-2973-1918</f>
        <v>48303</v>
      </c>
      <c r="K13" s="486">
        <f>52481-3008-2527</f>
        <v>46946</v>
      </c>
      <c r="L13" s="498">
        <f>58445-3143-2361</f>
        <v>52941</v>
      </c>
      <c r="M13" s="498">
        <f>52961-3174-2458-202-8</f>
        <v>47119</v>
      </c>
      <c r="N13" s="498">
        <f>55740-3211-2330-46</f>
        <v>50153</v>
      </c>
      <c r="O13" s="498">
        <f>63104-3297-2426</f>
        <v>57381</v>
      </c>
      <c r="P13" s="171">
        <f>61338-3480-2412</f>
        <v>55446</v>
      </c>
      <c r="Q13" s="173">
        <f>53901-3412-2467+5</f>
        <v>48027</v>
      </c>
      <c r="R13" s="171">
        <f>52896-6180</f>
        <v>46716</v>
      </c>
      <c r="S13" s="236">
        <f>54169-3668-2510-3</f>
        <v>47988</v>
      </c>
      <c r="T13" s="172">
        <f>59726-3830-2764</f>
        <v>53132</v>
      </c>
      <c r="U13" s="236">
        <f>55984-3848-2549</f>
        <v>49587</v>
      </c>
      <c r="V13" s="172">
        <f>50845-3854-2619</f>
        <v>44372</v>
      </c>
      <c r="W13" s="236">
        <f>(49322-3962-55-2746-3)*0+42092*0+42187</f>
        <v>42187</v>
      </c>
      <c r="X13" s="172">
        <f>45708-4060-2727</f>
        <v>38921</v>
      </c>
      <c r="Y13" s="236">
        <f>43878-4138-2865</f>
        <v>36875</v>
      </c>
      <c r="Z13" s="172">
        <f>42935-4156-2668</f>
        <v>36111</v>
      </c>
      <c r="AA13" s="236">
        <f>43574-4111-54-2717-3</f>
        <v>36689</v>
      </c>
      <c r="AB13" s="172">
        <v>34675</v>
      </c>
      <c r="AC13" s="236">
        <f>42053-4189-2810</f>
        <v>35054</v>
      </c>
      <c r="AD13" s="172">
        <v>34206</v>
      </c>
      <c r="AE13" s="236">
        <f>35119+554-1-731</f>
        <v>34941</v>
      </c>
      <c r="AF13" s="172">
        <v>40525</v>
      </c>
      <c r="AG13" s="436">
        <f>43783-6997</f>
        <v>36786</v>
      </c>
      <c r="AH13" s="172">
        <f>45671-4204-2516</f>
        <v>38951</v>
      </c>
      <c r="AI13" s="436">
        <f>47589-6991+195-1</f>
        <v>40792</v>
      </c>
      <c r="AJ13" s="172">
        <v>46145</v>
      </c>
      <c r="AK13" s="436">
        <f>52524-4250-2658+11</f>
        <v>45627</v>
      </c>
      <c r="AL13" s="436">
        <f>57976-2602-4290+917</f>
        <v>52001</v>
      </c>
      <c r="AM13" s="172">
        <v>52864</v>
      </c>
      <c r="AN13" s="172">
        <f>59705*0+66735-2650-4665</f>
        <v>59420</v>
      </c>
      <c r="AO13" s="529">
        <v>67711</v>
      </c>
      <c r="AP13" s="174">
        <f t="shared" ref="AP13:AP22" si="0">IF(AN13=0," ",IF(AN13&gt;0,ROUND(AO13/AN13*100,1)))</f>
        <v>114</v>
      </c>
      <c r="AQ13" s="175"/>
      <c r="AS13" s="511">
        <v>52001</v>
      </c>
      <c r="AT13" s="511">
        <f t="shared" ref="AT13:AT22" si="1">AN13-AS13</f>
        <v>7419</v>
      </c>
    </row>
    <row r="14" spans="3:46" ht="26.4" x14ac:dyDescent="0.25">
      <c r="C14" s="169">
        <v>3</v>
      </c>
      <c r="D14" s="264" t="s">
        <v>92</v>
      </c>
      <c r="E14" s="363">
        <f>345+28+9</f>
        <v>382</v>
      </c>
      <c r="F14" s="364">
        <f>316+31+11</f>
        <v>358</v>
      </c>
      <c r="G14" s="363"/>
      <c r="H14" s="364">
        <f>197+21+22</f>
        <v>240</v>
      </c>
      <c r="I14" s="363"/>
      <c r="J14" s="497">
        <f>370+40+18</f>
        <v>428</v>
      </c>
      <c r="K14" s="486">
        <f>500+52</f>
        <v>552</v>
      </c>
      <c r="L14" s="498">
        <f>660+58</f>
        <v>718</v>
      </c>
      <c r="M14" s="498">
        <f>600+58</f>
        <v>658</v>
      </c>
      <c r="N14" s="498">
        <f>661+39+65</f>
        <v>765</v>
      </c>
      <c r="O14" s="498">
        <f>661+65+39</f>
        <v>765</v>
      </c>
      <c r="P14" s="171">
        <v>820</v>
      </c>
      <c r="Q14" s="173">
        <f>710+70+40</f>
        <v>820</v>
      </c>
      <c r="R14" s="171">
        <f>735+45+75</f>
        <v>855</v>
      </c>
      <c r="S14" s="236">
        <f>747+45+75</f>
        <v>867</v>
      </c>
      <c r="T14" s="172">
        <v>970</v>
      </c>
      <c r="U14" s="236">
        <f>802+85+50+8+50+20</f>
        <v>1015</v>
      </c>
      <c r="V14" s="172">
        <v>775</v>
      </c>
      <c r="W14" s="236">
        <f>832+5</f>
        <v>837</v>
      </c>
      <c r="X14" s="172">
        <v>734</v>
      </c>
      <c r="Y14" s="236">
        <v>807</v>
      </c>
      <c r="Z14" s="172">
        <v>731</v>
      </c>
      <c r="AA14" s="236">
        <v>810</v>
      </c>
      <c r="AB14" s="172">
        <v>719</v>
      </c>
      <c r="AC14" s="236">
        <v>807</v>
      </c>
      <c r="AD14" s="172">
        <v>752</v>
      </c>
      <c r="AE14" s="236">
        <v>827</v>
      </c>
      <c r="AF14" s="172">
        <f>712+57+87</f>
        <v>856</v>
      </c>
      <c r="AG14" s="436">
        <v>847</v>
      </c>
      <c r="AH14" s="172">
        <v>894</v>
      </c>
      <c r="AI14" s="436">
        <v>854</v>
      </c>
      <c r="AJ14" s="172">
        <v>952</v>
      </c>
      <c r="AK14" s="436">
        <v>954</v>
      </c>
      <c r="AL14" s="436">
        <f>1054-20</f>
        <v>1034</v>
      </c>
      <c r="AM14" s="172">
        <v>948</v>
      </c>
      <c r="AN14" s="172">
        <v>1154</v>
      </c>
      <c r="AO14" s="529">
        <v>1112</v>
      </c>
      <c r="AP14" s="174">
        <f t="shared" si="0"/>
        <v>96.4</v>
      </c>
      <c r="AQ14" s="3" t="s">
        <v>42</v>
      </c>
      <c r="AS14" s="511">
        <v>1054</v>
      </c>
      <c r="AT14" s="511">
        <f t="shared" si="1"/>
        <v>100</v>
      </c>
    </row>
    <row r="15" spans="3:46" ht="16.5" customHeight="1" x14ac:dyDescent="0.25">
      <c r="C15" s="176">
        <v>4</v>
      </c>
      <c r="D15" s="265" t="s">
        <v>72</v>
      </c>
      <c r="E15" s="366">
        <v>95989</v>
      </c>
      <c r="F15" s="367">
        <v>130101</v>
      </c>
      <c r="G15" s="368"/>
      <c r="H15" s="367">
        <f>123449-123449+141876-15921</f>
        <v>125955</v>
      </c>
      <c r="I15" s="368"/>
      <c r="J15" s="499">
        <f>147518-17025</f>
        <v>130493</v>
      </c>
      <c r="K15" s="500">
        <f>152765-15702</f>
        <v>137063</v>
      </c>
      <c r="L15" s="501">
        <f>162237-16008</f>
        <v>146229</v>
      </c>
      <c r="M15" s="501">
        <f>(136502-16097)*0+161986-16098</f>
        <v>145888</v>
      </c>
      <c r="N15" s="501">
        <f>((162938-16075)*0+167399-16437)*0+167361-16437</f>
        <v>150924</v>
      </c>
      <c r="O15" s="501">
        <f>169472-16210</f>
        <v>153262</v>
      </c>
      <c r="P15" s="177">
        <f>175076-16321</f>
        <v>158755</v>
      </c>
      <c r="Q15" s="178">
        <f>(172907-16319)*0+172852-16319</f>
        <v>156533</v>
      </c>
      <c r="R15" s="177">
        <f>179542-17017</f>
        <v>162525</v>
      </c>
      <c r="S15" s="237">
        <f>(178174-16506)*0+179051-16506</f>
        <v>162545</v>
      </c>
      <c r="T15" s="541">
        <f>187379-16865</f>
        <v>170514</v>
      </c>
      <c r="U15" s="237">
        <f>(186950-16986)*0+188703-17362</f>
        <v>171341</v>
      </c>
      <c r="V15" s="541">
        <f>182981-15508</f>
        <v>167473</v>
      </c>
      <c r="W15" s="237">
        <f>(181717-15302+981)*0+(175050-15079)*0+181789-15333</f>
        <v>166456</v>
      </c>
      <c r="X15" s="541">
        <f>175105-13954</f>
        <v>161151</v>
      </c>
      <c r="Y15" s="237">
        <f>(171868-13757)*0+(171881-13757)*0+171851-13757</f>
        <v>158094</v>
      </c>
      <c r="Z15" s="541">
        <f>178979-15103</f>
        <v>163876</v>
      </c>
      <c r="AA15" s="237">
        <f>174620-14687-572</f>
        <v>159361</v>
      </c>
      <c r="AB15" s="541">
        <v>166915</v>
      </c>
      <c r="AC15" s="237">
        <f>(173102-14685+486+68)*0+173657-14685</f>
        <v>158972</v>
      </c>
      <c r="AD15" s="541">
        <f>157132*0+187484-15090-517</f>
        <v>171877</v>
      </c>
      <c r="AE15" s="237">
        <f>179941-14912</f>
        <v>165029</v>
      </c>
      <c r="AF15" s="541">
        <f>199049-15877-517</f>
        <v>182655</v>
      </c>
      <c r="AG15" s="440">
        <f>189120-15699-125</f>
        <v>173296</v>
      </c>
      <c r="AH15" s="541">
        <f>188167.108919-546.96622</f>
        <v>187620.14269899999</v>
      </c>
      <c r="AI15" s="440">
        <f>(202261-17142)*0+203265-17200+4</f>
        <v>186069</v>
      </c>
      <c r="AJ15" s="541">
        <f>227078-18862-568</f>
        <v>207648</v>
      </c>
      <c r="AK15" s="519">
        <f>(221137-19419)*0+221630*0-19430+221682</f>
        <v>202252</v>
      </c>
      <c r="AL15" s="551">
        <v>231939</v>
      </c>
      <c r="AM15" s="541">
        <v>232316</v>
      </c>
      <c r="AN15" s="541">
        <f>(282004-24151)*0+285249+64-24224</f>
        <v>261089</v>
      </c>
      <c r="AO15" s="543">
        <f>308909-25754</f>
        <v>283155</v>
      </c>
      <c r="AP15" s="547">
        <f t="shared" si="0"/>
        <v>108.5</v>
      </c>
      <c r="AQ15" s="549" t="s">
        <v>45</v>
      </c>
      <c r="AS15" s="511">
        <v>232593</v>
      </c>
      <c r="AT15" s="511">
        <f t="shared" si="1"/>
        <v>28496</v>
      </c>
    </row>
    <row r="16" spans="3:46" ht="39.6" x14ac:dyDescent="0.25">
      <c r="C16" s="162"/>
      <c r="D16" s="266" t="s">
        <v>123</v>
      </c>
      <c r="E16" s="302"/>
      <c r="F16" s="369"/>
      <c r="G16" s="302"/>
      <c r="H16" s="369"/>
      <c r="I16" s="302"/>
      <c r="J16" s="502"/>
      <c r="K16" s="503"/>
      <c r="L16" s="459"/>
      <c r="M16" s="459"/>
      <c r="N16" s="459"/>
      <c r="O16" s="459"/>
      <c r="P16" s="48"/>
      <c r="Q16" s="49"/>
      <c r="R16" s="48"/>
      <c r="S16" s="238"/>
      <c r="T16" s="542"/>
      <c r="U16" s="238"/>
      <c r="V16" s="542"/>
      <c r="W16" s="238"/>
      <c r="X16" s="542"/>
      <c r="Y16" s="238"/>
      <c r="Z16" s="542"/>
      <c r="AA16" s="238"/>
      <c r="AB16" s="542"/>
      <c r="AC16" s="179"/>
      <c r="AD16" s="542"/>
      <c r="AE16" s="238"/>
      <c r="AF16" s="542"/>
      <c r="AG16" s="413"/>
      <c r="AH16" s="542"/>
      <c r="AI16" s="413"/>
      <c r="AJ16" s="542"/>
      <c r="AK16" s="413"/>
      <c r="AL16" s="552"/>
      <c r="AM16" s="542"/>
      <c r="AN16" s="542"/>
      <c r="AO16" s="553"/>
      <c r="AP16" s="548"/>
      <c r="AQ16" s="550"/>
      <c r="AS16" s="511"/>
      <c r="AT16" s="511">
        <f t="shared" si="1"/>
        <v>0</v>
      </c>
    </row>
    <row r="17" spans="3:46" ht="26.4" x14ac:dyDescent="0.25">
      <c r="C17" s="169">
        <v>5</v>
      </c>
      <c r="D17" s="267" t="s">
        <v>97</v>
      </c>
      <c r="E17" s="363">
        <v>615</v>
      </c>
      <c r="F17" s="364">
        <v>672</v>
      </c>
      <c r="G17" s="363"/>
      <c r="H17" s="364">
        <v>772</v>
      </c>
      <c r="I17" s="363"/>
      <c r="J17" s="497">
        <f>606+212+34+12</f>
        <v>864</v>
      </c>
      <c r="K17" s="486">
        <f>640+224</f>
        <v>864</v>
      </c>
      <c r="L17" s="498">
        <f>676+237+34+12</f>
        <v>959</v>
      </c>
      <c r="M17" s="498">
        <f>650+228+34+12</f>
        <v>924</v>
      </c>
      <c r="N17" s="498">
        <f>721+252+34+12+30</f>
        <v>1049</v>
      </c>
      <c r="O17" s="498">
        <f>746+261+34+12</f>
        <v>1053</v>
      </c>
      <c r="P17" s="171">
        <f>873+306+34+12</f>
        <v>1225</v>
      </c>
      <c r="Q17" s="173">
        <f>751+263+34+12</f>
        <v>1060</v>
      </c>
      <c r="R17" s="171">
        <v>1245</v>
      </c>
      <c r="S17" s="236">
        <v>1191</v>
      </c>
      <c r="T17" s="172">
        <v>1276</v>
      </c>
      <c r="U17" s="236">
        <v>1217</v>
      </c>
      <c r="V17" s="172">
        <v>1331</v>
      </c>
      <c r="W17" s="236">
        <f>1254-50</f>
        <v>1204</v>
      </c>
      <c r="X17" s="172">
        <v>1348</v>
      </c>
      <c r="Y17" s="236">
        <v>1304</v>
      </c>
      <c r="Z17" s="172">
        <v>1348</v>
      </c>
      <c r="AA17" s="236">
        <v>1348</v>
      </c>
      <c r="AB17" s="172">
        <v>1445</v>
      </c>
      <c r="AC17" s="236">
        <v>1445</v>
      </c>
      <c r="AD17" s="172">
        <v>1445</v>
      </c>
      <c r="AE17" s="236">
        <v>1445</v>
      </c>
      <c r="AF17" s="172">
        <v>1445</v>
      </c>
      <c r="AG17" s="436">
        <v>1445</v>
      </c>
      <c r="AH17" s="172">
        <v>1372</v>
      </c>
      <c r="AI17" s="436">
        <v>1372</v>
      </c>
      <c r="AJ17" s="172">
        <v>1300</v>
      </c>
      <c r="AK17" s="436">
        <v>1300</v>
      </c>
      <c r="AL17" s="436">
        <v>1228</v>
      </c>
      <c r="AM17" s="172">
        <v>1228</v>
      </c>
      <c r="AN17" s="172">
        <v>1156</v>
      </c>
      <c r="AO17" s="529">
        <v>1084</v>
      </c>
      <c r="AP17" s="174">
        <f t="shared" si="0"/>
        <v>93.8</v>
      </c>
      <c r="AQ17" s="215" t="s">
        <v>89</v>
      </c>
      <c r="AS17" s="511">
        <v>1228</v>
      </c>
      <c r="AT17" s="511">
        <f t="shared" si="1"/>
        <v>-72</v>
      </c>
    </row>
    <row r="18" spans="3:46" x14ac:dyDescent="0.25">
      <c r="C18" s="169">
        <v>6</v>
      </c>
      <c r="D18" s="170" t="s">
        <v>41</v>
      </c>
      <c r="E18" s="363"/>
      <c r="F18" s="364">
        <v>585</v>
      </c>
      <c r="G18" s="363"/>
      <c r="H18" s="364">
        <v>1036</v>
      </c>
      <c r="I18" s="363"/>
      <c r="J18" s="497">
        <v>1707</v>
      </c>
      <c r="K18" s="486">
        <v>1414</v>
      </c>
      <c r="L18" s="498">
        <v>1150</v>
      </c>
      <c r="M18" s="498">
        <f>3565-500-348</f>
        <v>2717</v>
      </c>
      <c r="N18" s="498">
        <f>3000-370</f>
        <v>2630</v>
      </c>
      <c r="O18" s="498">
        <v>441</v>
      </c>
      <c r="P18" s="171">
        <v>261</v>
      </c>
      <c r="Q18" s="173">
        <v>1474</v>
      </c>
      <c r="R18" s="171">
        <v>228</v>
      </c>
      <c r="S18" s="236">
        <f>1200-333</f>
        <v>867</v>
      </c>
      <c r="T18" s="172">
        <v>324</v>
      </c>
      <c r="U18" s="236">
        <v>900</v>
      </c>
      <c r="V18" s="172">
        <v>255</v>
      </c>
      <c r="W18" s="236">
        <f>500-200</f>
        <v>300</v>
      </c>
      <c r="X18" s="172">
        <v>295</v>
      </c>
      <c r="Y18" s="236">
        <v>300</v>
      </c>
      <c r="Z18" s="172">
        <v>152</v>
      </c>
      <c r="AA18" s="236">
        <v>100</v>
      </c>
      <c r="AB18" s="172">
        <v>0</v>
      </c>
      <c r="AC18" s="236">
        <v>0</v>
      </c>
      <c r="AD18" s="172">
        <v>0</v>
      </c>
      <c r="AE18" s="236">
        <v>0</v>
      </c>
      <c r="AF18" s="172">
        <v>0</v>
      </c>
      <c r="AG18" s="436">
        <v>0</v>
      </c>
      <c r="AH18" s="172">
        <v>0</v>
      </c>
      <c r="AI18" s="436"/>
      <c r="AJ18" s="172">
        <v>0</v>
      </c>
      <c r="AK18" s="436">
        <v>0</v>
      </c>
      <c r="AL18" s="436">
        <v>0</v>
      </c>
      <c r="AM18" s="172"/>
      <c r="AN18" s="172">
        <v>0</v>
      </c>
      <c r="AO18" s="529">
        <v>0</v>
      </c>
      <c r="AP18" s="174" t="str">
        <f t="shared" si="0"/>
        <v xml:space="preserve"> </v>
      </c>
      <c r="AQ18" s="175"/>
      <c r="AS18" s="511">
        <v>0</v>
      </c>
      <c r="AT18" s="511">
        <f t="shared" si="1"/>
        <v>0</v>
      </c>
    </row>
    <row r="19" spans="3:46" x14ac:dyDescent="0.25">
      <c r="C19" s="169"/>
      <c r="D19" s="170"/>
      <c r="E19" s="363"/>
      <c r="F19" s="364"/>
      <c r="G19" s="363"/>
      <c r="H19" s="364"/>
      <c r="I19" s="363"/>
      <c r="J19" s="497"/>
      <c r="K19" s="486"/>
      <c r="L19" s="498"/>
      <c r="M19" s="498"/>
      <c r="N19" s="498"/>
      <c r="O19" s="498"/>
      <c r="P19" s="171"/>
      <c r="Q19" s="209"/>
      <c r="R19" s="232"/>
      <c r="S19" s="239"/>
      <c r="T19" s="212"/>
      <c r="U19" s="239"/>
      <c r="V19" s="212"/>
      <c r="W19" s="239"/>
      <c r="X19" s="212"/>
      <c r="Y19" s="239"/>
      <c r="Z19" s="212"/>
      <c r="AA19" s="239"/>
      <c r="AB19" s="212"/>
      <c r="AC19" s="239"/>
      <c r="AD19" s="212"/>
      <c r="AE19" s="239"/>
      <c r="AF19" s="212"/>
      <c r="AG19" s="441"/>
      <c r="AH19" s="212"/>
      <c r="AI19" s="441"/>
      <c r="AJ19" s="212"/>
      <c r="AK19" s="441"/>
      <c r="AL19" s="441"/>
      <c r="AM19" s="212"/>
      <c r="AN19" s="212"/>
      <c r="AO19" s="530"/>
      <c r="AP19" s="174" t="str">
        <f t="shared" si="0"/>
        <v xml:space="preserve"> </v>
      </c>
      <c r="AQ19" s="175"/>
      <c r="AS19" s="511"/>
      <c r="AT19" s="511">
        <f t="shared" si="1"/>
        <v>0</v>
      </c>
    </row>
    <row r="20" spans="3:46" ht="13.8" thickBot="1" x14ac:dyDescent="0.3">
      <c r="C20" s="169"/>
      <c r="D20" s="170"/>
      <c r="E20" s="314"/>
      <c r="F20" s="313"/>
      <c r="G20" s="314"/>
      <c r="H20" s="313"/>
      <c r="I20" s="314"/>
      <c r="J20" s="504"/>
      <c r="K20" s="463"/>
      <c r="L20" s="464"/>
      <c r="M20" s="464"/>
      <c r="N20" s="464"/>
      <c r="O20" s="464"/>
      <c r="P20" s="68"/>
      <c r="Q20" s="210"/>
      <c r="R20" s="233"/>
      <c r="S20" s="240"/>
      <c r="T20" s="213"/>
      <c r="U20" s="240"/>
      <c r="V20" s="213"/>
      <c r="W20" s="240"/>
      <c r="X20" s="213"/>
      <c r="Y20" s="240"/>
      <c r="Z20" s="213"/>
      <c r="AA20" s="240"/>
      <c r="AB20" s="213"/>
      <c r="AC20" s="240"/>
      <c r="AD20" s="213"/>
      <c r="AE20" s="240"/>
      <c r="AF20" s="213"/>
      <c r="AG20" s="442"/>
      <c r="AH20" s="213"/>
      <c r="AI20" s="442"/>
      <c r="AJ20" s="213"/>
      <c r="AK20" s="442"/>
      <c r="AL20" s="442"/>
      <c r="AM20" s="213"/>
      <c r="AN20" s="213"/>
      <c r="AO20" s="531"/>
      <c r="AP20" s="72" t="str">
        <f t="shared" si="0"/>
        <v xml:space="preserve"> </v>
      </c>
      <c r="AQ20" s="166"/>
      <c r="AS20" s="511"/>
      <c r="AT20" s="511">
        <f t="shared" si="1"/>
        <v>0</v>
      </c>
    </row>
    <row r="21" spans="3:46" ht="13.8" thickBot="1" x14ac:dyDescent="0.3">
      <c r="C21" s="180"/>
      <c r="D21" s="181"/>
      <c r="E21" s="333"/>
      <c r="F21" s="370"/>
      <c r="G21" s="333"/>
      <c r="H21" s="370"/>
      <c r="I21" s="333"/>
      <c r="J21" s="505"/>
      <c r="K21" s="506"/>
      <c r="L21" s="507"/>
      <c r="M21" s="507"/>
      <c r="N21" s="507"/>
      <c r="O21" s="507"/>
      <c r="P21" s="183"/>
      <c r="Q21" s="184"/>
      <c r="R21" s="183"/>
      <c r="S21" s="241"/>
      <c r="T21" s="182"/>
      <c r="U21" s="241"/>
      <c r="V21" s="182"/>
      <c r="W21" s="241"/>
      <c r="X21" s="182"/>
      <c r="Y21" s="241"/>
      <c r="Z21" s="182"/>
      <c r="AA21" s="241"/>
      <c r="AB21" s="182"/>
      <c r="AC21" s="241"/>
      <c r="AD21" s="182"/>
      <c r="AE21" s="241"/>
      <c r="AF21" s="182"/>
      <c r="AG21" s="443"/>
      <c r="AH21" s="182"/>
      <c r="AI21" s="443"/>
      <c r="AJ21" s="182"/>
      <c r="AK21" s="443"/>
      <c r="AL21" s="443"/>
      <c r="AM21" s="182"/>
      <c r="AN21" s="182"/>
      <c r="AO21" s="532"/>
      <c r="AP21" s="117" t="str">
        <f t="shared" si="0"/>
        <v xml:space="preserve"> </v>
      </c>
      <c r="AQ21" s="175"/>
      <c r="AS21" s="511"/>
      <c r="AT21" s="511">
        <f t="shared" si="1"/>
        <v>0</v>
      </c>
    </row>
    <row r="22" spans="3:46" ht="21" customHeight="1" thickBot="1" x14ac:dyDescent="0.35">
      <c r="C22" s="185"/>
      <c r="D22" s="186" t="s">
        <v>52</v>
      </c>
      <c r="E22" s="335">
        <f>SUM(E12:E20)</f>
        <v>141142</v>
      </c>
      <c r="F22" s="371">
        <f>SUM(F12:F20)</f>
        <v>176388</v>
      </c>
      <c r="G22" s="335"/>
      <c r="H22" s="372">
        <f>SUM(H12:H20)</f>
        <v>175615</v>
      </c>
      <c r="I22" s="335"/>
      <c r="J22" s="475">
        <f t="shared" ref="J22:AK22" si="2">SUM(J12:J20)</f>
        <v>184986</v>
      </c>
      <c r="K22" s="475">
        <f t="shared" si="2"/>
        <v>190776</v>
      </c>
      <c r="L22" s="475">
        <f t="shared" si="2"/>
        <v>206051</v>
      </c>
      <c r="M22" s="475">
        <f t="shared" si="2"/>
        <v>201717</v>
      </c>
      <c r="N22" s="475">
        <f t="shared" si="2"/>
        <v>211271</v>
      </c>
      <c r="O22" s="475">
        <f t="shared" si="2"/>
        <v>217255</v>
      </c>
      <c r="P22" s="120">
        <f>SUM(P12:P20)</f>
        <v>220081</v>
      </c>
      <c r="Q22" s="121">
        <f t="shared" si="2"/>
        <v>212714</v>
      </c>
      <c r="R22" s="120">
        <f t="shared" si="2"/>
        <v>215752</v>
      </c>
      <c r="S22" s="242">
        <f t="shared" si="2"/>
        <v>218258</v>
      </c>
      <c r="T22" s="214">
        <f t="shared" si="2"/>
        <v>228911</v>
      </c>
      <c r="U22" s="242">
        <f t="shared" si="2"/>
        <v>228060</v>
      </c>
      <c r="V22" s="214">
        <f t="shared" si="2"/>
        <v>216203</v>
      </c>
      <c r="W22" s="242">
        <f t="shared" si="2"/>
        <v>214984</v>
      </c>
      <c r="X22" s="214">
        <f t="shared" si="2"/>
        <v>204432</v>
      </c>
      <c r="Y22" s="242">
        <f t="shared" si="2"/>
        <v>200380</v>
      </c>
      <c r="Z22" s="214">
        <f t="shared" si="2"/>
        <v>203537</v>
      </c>
      <c r="AA22" s="242">
        <f t="shared" si="2"/>
        <v>201488</v>
      </c>
      <c r="AB22" s="214">
        <f t="shared" si="2"/>
        <v>205292</v>
      </c>
      <c r="AC22" s="242">
        <f t="shared" si="2"/>
        <v>199378</v>
      </c>
      <c r="AD22" s="214">
        <f t="shared" si="2"/>
        <v>209815</v>
      </c>
      <c r="AE22" s="242">
        <f t="shared" si="2"/>
        <v>205242</v>
      </c>
      <c r="AF22" s="214">
        <f t="shared" si="2"/>
        <v>227576</v>
      </c>
      <c r="AG22" s="214">
        <f t="shared" si="2"/>
        <v>215374</v>
      </c>
      <c r="AH22" s="214">
        <f t="shared" si="2"/>
        <v>230865.14269899999</v>
      </c>
      <c r="AI22" s="427">
        <f t="shared" si="2"/>
        <v>231467</v>
      </c>
      <c r="AJ22" s="214">
        <f t="shared" si="2"/>
        <v>258334</v>
      </c>
      <c r="AK22" s="427">
        <f t="shared" si="2"/>
        <v>252110</v>
      </c>
      <c r="AL22" s="427">
        <f t="shared" ref="AL22:AO22" si="3">SUM(AL12:AL20)</f>
        <v>286602</v>
      </c>
      <c r="AM22" s="214">
        <f t="shared" si="3"/>
        <v>289131</v>
      </c>
      <c r="AN22" s="214">
        <f t="shared" si="3"/>
        <v>323119</v>
      </c>
      <c r="AO22" s="214">
        <f t="shared" si="3"/>
        <v>354573</v>
      </c>
      <c r="AP22" s="122">
        <f t="shared" si="0"/>
        <v>109.7</v>
      </c>
      <c r="AQ22" s="187"/>
      <c r="AS22" s="511">
        <v>287276</v>
      </c>
      <c r="AT22" s="511">
        <f t="shared" si="1"/>
        <v>35843</v>
      </c>
    </row>
    <row r="23" spans="3:46" ht="13.8" thickTop="1" x14ac:dyDescent="0.25">
      <c r="D23" s="188"/>
      <c r="E23" s="337"/>
      <c r="F23" s="337"/>
      <c r="G23" s="337"/>
      <c r="H23" s="337"/>
      <c r="I23" s="337"/>
      <c r="J23" s="476"/>
      <c r="K23" s="476"/>
      <c r="L23" s="476"/>
      <c r="M23" s="476"/>
      <c r="N23" s="476"/>
      <c r="O23" s="476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4"/>
      <c r="AI23" s="124"/>
      <c r="AJ23" s="124"/>
      <c r="AK23" s="124"/>
      <c r="AL23" s="428"/>
      <c r="AM23" s="124"/>
      <c r="AN23" s="124"/>
      <c r="AO23" s="124"/>
      <c r="AP23" s="124"/>
      <c r="AQ23" s="124"/>
    </row>
    <row r="24" spans="3:46" x14ac:dyDescent="0.25">
      <c r="D24" s="189" t="s">
        <v>30</v>
      </c>
      <c r="E24" s="338"/>
      <c r="F24" s="338"/>
      <c r="G24" s="338"/>
      <c r="H24" s="338"/>
      <c r="I24" s="338"/>
      <c r="J24" s="477"/>
      <c r="K24" s="477"/>
      <c r="L24" s="477"/>
      <c r="M24" s="477"/>
      <c r="N24" s="477"/>
      <c r="O24" s="477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429"/>
      <c r="AM24" s="126"/>
      <c r="AN24" s="126"/>
      <c r="AO24" s="126"/>
      <c r="AP24" s="126"/>
      <c r="AQ24" s="189"/>
    </row>
    <row r="25" spans="3:46" x14ac:dyDescent="0.25">
      <c r="D25" s="189" t="s">
        <v>83</v>
      </c>
      <c r="E25" s="338"/>
      <c r="F25" s="338"/>
      <c r="G25" s="338"/>
      <c r="H25" s="338"/>
      <c r="I25" s="338"/>
      <c r="J25" s="477"/>
      <c r="K25" s="477"/>
      <c r="L25" s="477"/>
      <c r="M25" s="477"/>
      <c r="N25" s="477"/>
      <c r="O25" s="477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429"/>
      <c r="AM25" s="126"/>
      <c r="AN25" s="126"/>
      <c r="AO25" s="126"/>
      <c r="AP25" s="126"/>
      <c r="AQ25" s="189"/>
    </row>
    <row r="26" spans="3:46" x14ac:dyDescent="0.25">
      <c r="D26" s="189" t="s">
        <v>84</v>
      </c>
      <c r="E26" s="338"/>
      <c r="F26" s="338"/>
      <c r="G26" s="338"/>
      <c r="H26" s="338"/>
      <c r="I26" s="338"/>
      <c r="J26" s="477"/>
      <c r="K26" s="477"/>
      <c r="L26" s="477"/>
      <c r="M26" s="477"/>
      <c r="N26" s="477"/>
      <c r="O26" s="477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429"/>
      <c r="AM26" s="126"/>
      <c r="AN26" s="126"/>
      <c r="AO26" s="126"/>
      <c r="AP26" s="126"/>
      <c r="AQ26" s="189"/>
    </row>
    <row r="27" spans="3:46" x14ac:dyDescent="0.25">
      <c r="D27" s="189" t="s">
        <v>91</v>
      </c>
      <c r="E27" s="338"/>
      <c r="F27" s="338"/>
      <c r="G27" s="338"/>
      <c r="H27" s="338"/>
      <c r="I27" s="338"/>
      <c r="J27" s="477"/>
      <c r="K27" s="477"/>
      <c r="L27" s="477"/>
      <c r="M27" s="477"/>
      <c r="N27" s="477"/>
      <c r="O27" s="477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6"/>
      <c r="AL27" s="429"/>
      <c r="AM27" s="126"/>
      <c r="AN27" s="126"/>
      <c r="AO27" s="126"/>
      <c r="AP27" s="126"/>
      <c r="AQ27" s="189"/>
    </row>
    <row r="28" spans="3:46" x14ac:dyDescent="0.25">
      <c r="D28" s="189" t="s">
        <v>96</v>
      </c>
      <c r="E28" s="338"/>
      <c r="F28" s="338"/>
      <c r="G28" s="338"/>
      <c r="H28" s="338"/>
      <c r="I28" s="338"/>
      <c r="J28" s="477"/>
      <c r="K28" s="477"/>
      <c r="L28" s="477"/>
      <c r="M28" s="477"/>
      <c r="N28" s="477"/>
      <c r="O28" s="477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  <c r="AG28" s="126"/>
      <c r="AH28" s="126"/>
      <c r="AI28" s="126"/>
      <c r="AJ28" s="126"/>
      <c r="AK28" s="126"/>
      <c r="AL28" s="429"/>
      <c r="AM28" s="126"/>
      <c r="AN28" s="126"/>
      <c r="AO28" s="126"/>
      <c r="AP28" s="126"/>
      <c r="AQ28" s="189"/>
    </row>
    <row r="29" spans="3:46" x14ac:dyDescent="0.25">
      <c r="D29" s="189" t="s">
        <v>101</v>
      </c>
      <c r="E29" s="338"/>
      <c r="F29" s="338"/>
      <c r="G29" s="338"/>
      <c r="H29" s="338"/>
      <c r="I29" s="338"/>
      <c r="J29" s="477"/>
      <c r="K29" s="477"/>
      <c r="L29" s="477"/>
      <c r="M29" s="477"/>
      <c r="N29" s="477"/>
      <c r="O29" s="477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26"/>
      <c r="AG29" s="126"/>
      <c r="AH29" s="126"/>
      <c r="AI29" s="126"/>
      <c r="AJ29" s="126"/>
      <c r="AK29" s="126"/>
      <c r="AL29" s="429"/>
      <c r="AM29" s="126"/>
      <c r="AN29" s="126"/>
      <c r="AO29" s="126"/>
      <c r="AP29" s="126"/>
      <c r="AQ29" s="189"/>
    </row>
    <row r="30" spans="3:46" x14ac:dyDescent="0.25">
      <c r="D30" s="150" t="s">
        <v>112</v>
      </c>
      <c r="E30" s="338"/>
      <c r="F30" s="338"/>
      <c r="G30" s="338"/>
      <c r="H30" s="338"/>
      <c r="I30" s="338"/>
      <c r="J30" s="477"/>
      <c r="K30" s="477"/>
      <c r="L30" s="477"/>
      <c r="M30" s="477"/>
      <c r="N30" s="477"/>
      <c r="O30" s="477"/>
      <c r="P30" s="126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6"/>
      <c r="AI30" s="126"/>
      <c r="AJ30" s="126"/>
      <c r="AK30" s="126"/>
      <c r="AL30" s="429"/>
      <c r="AM30" s="126"/>
      <c r="AN30" s="126"/>
      <c r="AO30" s="126"/>
      <c r="AP30" s="126"/>
      <c r="AQ30" s="189"/>
    </row>
    <row r="31" spans="3:46" x14ac:dyDescent="0.25">
      <c r="D31" s="150" t="s">
        <v>102</v>
      </c>
      <c r="E31" s="338"/>
      <c r="F31" s="338"/>
      <c r="G31" s="338"/>
      <c r="H31" s="338"/>
      <c r="I31" s="338"/>
      <c r="J31" s="477"/>
      <c r="K31" s="477"/>
      <c r="L31" s="477"/>
      <c r="M31" s="477"/>
      <c r="N31" s="477"/>
      <c r="O31" s="477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  <c r="AI31" s="126"/>
      <c r="AJ31" s="126"/>
      <c r="AK31" s="126"/>
      <c r="AL31" s="429"/>
      <c r="AM31" s="126"/>
      <c r="AN31" s="126"/>
      <c r="AO31" s="126"/>
      <c r="AP31" s="126"/>
      <c r="AQ31" s="189"/>
    </row>
    <row r="32" spans="3:46" x14ac:dyDescent="0.25">
      <c r="D32" s="189"/>
      <c r="E32" s="338"/>
      <c r="F32" s="338"/>
      <c r="G32" s="338"/>
      <c r="H32" s="338"/>
      <c r="I32" s="338"/>
      <c r="J32" s="477"/>
      <c r="K32" s="477"/>
      <c r="L32" s="477"/>
      <c r="M32" s="477"/>
      <c r="N32" s="477"/>
      <c r="O32" s="477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6"/>
      <c r="AL32" s="429"/>
      <c r="AM32" s="126"/>
      <c r="AN32" s="126"/>
      <c r="AO32" s="126"/>
      <c r="AP32" s="126"/>
      <c r="AQ32" s="189"/>
      <c r="AR32" s="189"/>
    </row>
    <row r="33" spans="4:43" x14ac:dyDescent="0.25">
      <c r="D33" s="190" t="s">
        <v>31</v>
      </c>
      <c r="E33" s="373"/>
      <c r="F33" s="373"/>
      <c r="G33" s="373"/>
      <c r="H33" s="373"/>
      <c r="I33" s="373"/>
      <c r="J33" s="479"/>
      <c r="K33" s="479"/>
      <c r="L33" s="479"/>
      <c r="M33" s="479"/>
      <c r="N33" s="479"/>
      <c r="O33" s="479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430"/>
      <c r="AM33" s="23"/>
      <c r="AN33" s="23"/>
      <c r="AO33" s="23"/>
      <c r="AP33" s="23"/>
      <c r="AQ33" s="22"/>
    </row>
    <row r="34" spans="4:43" x14ac:dyDescent="0.25">
      <c r="D34" s="191" t="s">
        <v>79</v>
      </c>
      <c r="E34" s="374">
        <f>MV_tab!E89</f>
        <v>2189.1999999999998</v>
      </c>
      <c r="F34" s="375">
        <f>MV_tab!F89</f>
        <v>2352.1999999999998</v>
      </c>
      <c r="G34" s="353"/>
      <c r="H34" s="375">
        <f>MV_tab!H89</f>
        <v>2464.4</v>
      </c>
      <c r="I34" s="376"/>
      <c r="J34" s="508">
        <f>MV_tab!J89</f>
        <v>2577.1</v>
      </c>
      <c r="K34" s="508">
        <f>MV_tab!K89</f>
        <v>2814.8</v>
      </c>
      <c r="L34" s="508">
        <f>MV_tab!L89</f>
        <v>2984</v>
      </c>
      <c r="M34" s="508">
        <f>MV_tab!M89</f>
        <v>2907</v>
      </c>
      <c r="N34" s="508">
        <f>MV_tab!N89</f>
        <v>3202</v>
      </c>
      <c r="O34" s="508">
        <f>MV_tab!O89</f>
        <v>3507</v>
      </c>
      <c r="P34" s="193">
        <f>MV_tab!P89</f>
        <v>3832</v>
      </c>
      <c r="Q34" s="193">
        <f>MV_tab!Q89</f>
        <v>3516</v>
      </c>
      <c r="R34" s="193">
        <f>MV_tab!R89</f>
        <v>4015</v>
      </c>
      <c r="S34" s="193">
        <f>MV_tab!S89</f>
        <v>3827</v>
      </c>
      <c r="T34" s="193">
        <f>MV_tab!T89</f>
        <v>3922</v>
      </c>
      <c r="U34" s="193">
        <f>MV_tab!U89</f>
        <v>3634</v>
      </c>
      <c r="V34" s="193">
        <f>MV_tab!V89</f>
        <v>3954</v>
      </c>
      <c r="W34" s="193">
        <f>MV_tab!W89</f>
        <v>3678</v>
      </c>
      <c r="X34" s="193">
        <f>MV_tab!X89</f>
        <v>4023</v>
      </c>
      <c r="Y34" s="193">
        <f>MV_tab!Y89</f>
        <v>3729</v>
      </c>
      <c r="Z34" s="193">
        <f>MV_tab!Z89</f>
        <v>4060</v>
      </c>
      <c r="AA34" s="193">
        <f>MV_tab!AA89</f>
        <v>3820</v>
      </c>
      <c r="AB34" s="193">
        <f>MV_tab!AB89</f>
        <v>4098</v>
      </c>
      <c r="AC34" s="193">
        <f>MV_tab!AC89</f>
        <v>3822</v>
      </c>
      <c r="AD34" s="193">
        <v>4313.7889999999998</v>
      </c>
      <c r="AE34" s="193">
        <f>MV_tab!AE89</f>
        <v>4061</v>
      </c>
      <c r="AF34" s="193">
        <f>MV_tab!AF89</f>
        <v>4595.7830000000004</v>
      </c>
      <c r="AG34" s="193">
        <f>MV_tab!AG89</f>
        <v>4469</v>
      </c>
      <c r="AH34" s="193">
        <f>MV_tab!AH89</f>
        <v>4767.99</v>
      </c>
      <c r="AI34" s="193">
        <f>MV_tab!AI89</f>
        <v>4681</v>
      </c>
      <c r="AJ34" s="193">
        <f>MV_tab!AJ89</f>
        <v>5047.2669999999998</v>
      </c>
      <c r="AK34" s="193">
        <f>MV_tab!AK89</f>
        <v>5040</v>
      </c>
      <c r="AL34" s="533">
        <f>MV_tab!AL89</f>
        <v>5300</v>
      </c>
      <c r="AM34" s="193">
        <f>MV_tab!AM89</f>
        <v>5328.7380000000003</v>
      </c>
      <c r="AN34" s="193">
        <f>MV_tab!AN89</f>
        <v>5626.8039260750029</v>
      </c>
      <c r="AO34" s="193">
        <f>MV_tab!AO89</f>
        <v>5880.4036712062798</v>
      </c>
      <c r="AP34" s="132"/>
      <c r="AQ34" s="132"/>
    </row>
    <row r="35" spans="4:43" x14ac:dyDescent="0.25">
      <c r="D35" s="194" t="s">
        <v>49</v>
      </c>
      <c r="E35" s="347">
        <f>E22/(E$34*1000)*100</f>
        <v>6.4471953224922345</v>
      </c>
      <c r="F35" s="349">
        <f>F22/(F$34*1000)*100</f>
        <v>7.4988521384236035</v>
      </c>
      <c r="G35" s="347"/>
      <c r="H35" s="349">
        <f>H22/(H$34*1000)*100</f>
        <v>7.1260753124492773</v>
      </c>
      <c r="I35" s="347"/>
      <c r="J35" s="483">
        <f t="shared" ref="J35:Q35" si="4">J22/(J$34*1000)*100</f>
        <v>7.1780683714252458</v>
      </c>
      <c r="K35" s="483">
        <f t="shared" si="4"/>
        <v>6.7776040926531191</v>
      </c>
      <c r="L35" s="483">
        <f t="shared" si="4"/>
        <v>6.9051943699731906</v>
      </c>
      <c r="M35" s="483">
        <f t="shared" si="4"/>
        <v>6.9390092879256962</v>
      </c>
      <c r="N35" s="483">
        <f t="shared" si="4"/>
        <v>6.5980949406620857</v>
      </c>
      <c r="O35" s="483">
        <f>O22/(O$34*1000)*100</f>
        <v>6.194895922440832</v>
      </c>
      <c r="P35" s="142">
        <f>P22/(P$34*1000)*100</f>
        <v>5.743241127348643</v>
      </c>
      <c r="Q35" s="142">
        <f t="shared" si="4"/>
        <v>6.0498862343572242</v>
      </c>
      <c r="R35" s="142">
        <f>R22/(R$34*1000)*100</f>
        <v>5.3736488169364884</v>
      </c>
      <c r="S35" s="142">
        <f>S22/(S$34*1000)*100</f>
        <v>5.7031094852364772</v>
      </c>
      <c r="T35" s="142">
        <f>T22/(T$34*1000)*100</f>
        <v>5.8365884752677202</v>
      </c>
      <c r="U35" s="142">
        <f>U22/(U$34*1000)*100</f>
        <v>6.2757292239955982</v>
      </c>
      <c r="V35" s="142">
        <f t="shared" ref="V35:AE35" si="5">V22/(V$34*1000)*100</f>
        <v>5.4679564997470917</v>
      </c>
      <c r="W35" s="142">
        <f t="shared" si="5"/>
        <v>5.8451332245785759</v>
      </c>
      <c r="X35" s="142">
        <f t="shared" si="5"/>
        <v>5.0815809097688289</v>
      </c>
      <c r="Y35" s="142">
        <f t="shared" si="5"/>
        <v>5.3735585947975322</v>
      </c>
      <c r="Z35" s="142">
        <f t="shared" si="5"/>
        <v>5.013226600985222</v>
      </c>
      <c r="AA35" s="142">
        <f t="shared" si="5"/>
        <v>5.2745549738219895</v>
      </c>
      <c r="AB35" s="142">
        <f t="shared" si="5"/>
        <v>5.0095656417764767</v>
      </c>
      <c r="AC35" s="142">
        <f t="shared" si="5"/>
        <v>5.2165881737310311</v>
      </c>
      <c r="AD35" s="142">
        <f>AD22/(AD$34*1000)*100</f>
        <v>4.8638215730996581</v>
      </c>
      <c r="AE35" s="142">
        <f t="shared" si="5"/>
        <v>5.053976852991874</v>
      </c>
      <c r="AF35" s="142">
        <f t="shared" ref="AF35:AJ35" si="6">AF22/(AF$34*1000)*100</f>
        <v>4.9518438968941743</v>
      </c>
      <c r="AG35" s="142">
        <f t="shared" si="6"/>
        <v>4.8192884314164246</v>
      </c>
      <c r="AH35" s="142">
        <f t="shared" si="6"/>
        <v>4.8419804298876459</v>
      </c>
      <c r="AI35" s="142">
        <f>AI22/(AI$34*1000)*100</f>
        <v>4.9448194830164489</v>
      </c>
      <c r="AJ35" s="142">
        <f t="shared" si="6"/>
        <v>5.1182947127623724</v>
      </c>
      <c r="AK35" s="142">
        <f>AK22/(AK$34*1000)*100</f>
        <v>5.0021825396825399</v>
      </c>
      <c r="AL35" s="433">
        <f>AL22/(AL$34*1000)*100</f>
        <v>5.4075849056603769</v>
      </c>
      <c r="AM35" s="142">
        <f>AM22/(AM$34*1000)*100</f>
        <v>5.4258813249966504</v>
      </c>
      <c r="AN35" s="142">
        <f>AN22/(AN$34*1000)*100</f>
        <v>5.7424961709194084</v>
      </c>
      <c r="AO35" s="142">
        <f>AO22/(AO$34*1000)*100</f>
        <v>6.0297391101938498</v>
      </c>
      <c r="AP35" s="135"/>
      <c r="AQ35" s="139"/>
    </row>
    <row r="36" spans="4:43" x14ac:dyDescent="0.25">
      <c r="D36" s="194"/>
      <c r="E36" s="350"/>
      <c r="F36" s="352"/>
      <c r="G36" s="350"/>
      <c r="H36" s="352"/>
      <c r="I36" s="350"/>
      <c r="J36" s="484"/>
      <c r="K36" s="484"/>
      <c r="L36" s="484"/>
      <c r="M36" s="484"/>
      <c r="N36" s="484"/>
      <c r="O36" s="484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434"/>
      <c r="AM36" s="138"/>
      <c r="AN36" s="138"/>
      <c r="AO36" s="138"/>
      <c r="AP36" s="139"/>
      <c r="AQ36" s="139"/>
    </row>
    <row r="37" spans="4:43" x14ac:dyDescent="0.25">
      <c r="D37" s="195" t="s">
        <v>62</v>
      </c>
      <c r="E37" s="377">
        <f>MV_tab!E95</f>
        <v>632268</v>
      </c>
      <c r="F37" s="378">
        <f>MV_tab!F95</f>
        <v>693920</v>
      </c>
      <c r="G37" s="353"/>
      <c r="H37" s="375">
        <f>MV_tab!H95</f>
        <v>750682</v>
      </c>
      <c r="I37" s="376"/>
      <c r="J37" s="509">
        <f>MV_tab!J95</f>
        <v>808718</v>
      </c>
      <c r="K37" s="509">
        <f>MV_tab!K95</f>
        <v>862892</v>
      </c>
      <c r="L37" s="509">
        <f>MV_tab!L95</f>
        <v>922798</v>
      </c>
      <c r="M37" s="509">
        <f>MV_tab!M95</f>
        <v>892269</v>
      </c>
      <c r="N37" s="509">
        <f>MV_tab!N95</f>
        <v>958792</v>
      </c>
      <c r="O37" s="509">
        <f>MV_tab!O95</f>
        <v>1020640</v>
      </c>
      <c r="P37" s="192">
        <f>MV_tab!P95</f>
        <v>1092275</v>
      </c>
      <c r="Q37" s="192">
        <f>MV_tab!Q95</f>
        <v>1040777</v>
      </c>
      <c r="R37" s="192">
        <f>MV_tab!R95</f>
        <v>1083944</v>
      </c>
      <c r="S37" s="192">
        <f>MV_tab!S95</f>
        <v>1107311</v>
      </c>
      <c r="T37" s="192">
        <f>MV_tab!T95</f>
        <v>1167009</v>
      </c>
      <c r="U37" s="192">
        <f>MV_tab!U95</f>
        <v>1152102</v>
      </c>
      <c r="V37" s="192">
        <f>MV_tab!V95</f>
        <v>1156793</v>
      </c>
      <c r="W37" s="192">
        <f>MV_tab!W95</f>
        <v>1184919</v>
      </c>
      <c r="X37" s="192">
        <f>MV_tab!X95</f>
        <v>1155526</v>
      </c>
      <c r="Y37" s="192">
        <f>MV_tab!Y95</f>
        <v>1190701</v>
      </c>
      <c r="Z37" s="192">
        <f>MV_tab!Z95</f>
        <v>1152387</v>
      </c>
      <c r="AA37" s="192">
        <f>MV_tab!AA95</f>
        <v>1189701</v>
      </c>
      <c r="AB37" s="192">
        <f>MV_tab!AB95</f>
        <v>1173128</v>
      </c>
      <c r="AC37" s="192">
        <f>MV_tab!AC95</f>
        <v>1176368</v>
      </c>
      <c r="AD37" s="192">
        <f>MV_tab!AD95</f>
        <v>1211608</v>
      </c>
      <c r="AE37" s="192">
        <f>MV_tab!AE95</f>
        <v>1211608</v>
      </c>
      <c r="AF37" s="192">
        <f>MV_tab!AF95</f>
        <v>1297321</v>
      </c>
      <c r="AG37" s="192">
        <f>MV_tab!AG95</f>
        <v>1218455</v>
      </c>
      <c r="AH37" s="192">
        <f>MV_tab!AH95</f>
        <v>1219844</v>
      </c>
      <c r="AI37" s="192">
        <f>MV_tab!AI95</f>
        <v>1250857</v>
      </c>
      <c r="AJ37" s="192">
        <f>MV_tab!AJ95</f>
        <v>1279796</v>
      </c>
      <c r="AK37" s="192">
        <f>MV_tab!AK95</f>
        <v>1309272</v>
      </c>
      <c r="AL37" s="534">
        <f>MV_tab!AL95</f>
        <v>1364498</v>
      </c>
      <c r="AM37" s="192">
        <f>MV_tab!AM95</f>
        <v>1400974</v>
      </c>
      <c r="AN37" s="192">
        <f>MV_tab!AN95</f>
        <v>1505359</v>
      </c>
      <c r="AO37" s="192">
        <f>MV_tab!AO95</f>
        <v>1618119</v>
      </c>
      <c r="AP37" s="139"/>
      <c r="AQ37" s="139"/>
    </row>
    <row r="38" spans="4:43" x14ac:dyDescent="0.25">
      <c r="D38" s="194" t="s">
        <v>48</v>
      </c>
      <c r="E38" s="347">
        <f>E22/E$37*100</f>
        <v>22.323128799812739</v>
      </c>
      <c r="F38" s="349">
        <f>F22/F$37*100</f>
        <v>25.419068480516486</v>
      </c>
      <c r="G38" s="347"/>
      <c r="H38" s="349">
        <f>H22/H$37*100</f>
        <v>23.394060334469188</v>
      </c>
      <c r="I38" s="347"/>
      <c r="J38" s="483">
        <f t="shared" ref="J38:Q38" si="7">J22/J$37*100</f>
        <v>22.87398079429418</v>
      </c>
      <c r="K38" s="483">
        <f t="shared" si="7"/>
        <v>22.108908183179356</v>
      </c>
      <c r="L38" s="483">
        <f t="shared" si="7"/>
        <v>22.328938727652208</v>
      </c>
      <c r="M38" s="483">
        <f t="shared" si="7"/>
        <v>22.607195812025296</v>
      </c>
      <c r="N38" s="483">
        <f t="shared" si="7"/>
        <v>22.03512336356582</v>
      </c>
      <c r="O38" s="483">
        <f>O22/O$37*100</f>
        <v>21.286153785859852</v>
      </c>
      <c r="P38" s="142">
        <f>P22/P$37*100</f>
        <v>20.148863610354535</v>
      </c>
      <c r="Q38" s="142">
        <f t="shared" si="7"/>
        <v>20.437999686772478</v>
      </c>
      <c r="R38" s="142">
        <f>R22/R$37*100</f>
        <v>19.904349302177973</v>
      </c>
      <c r="S38" s="142">
        <f>S22/S$37*100</f>
        <v>19.710632333644295</v>
      </c>
      <c r="T38" s="142">
        <f>T22/T$37*100</f>
        <v>19.615187200784227</v>
      </c>
      <c r="U38" s="142">
        <f>U22/U$37*100</f>
        <v>19.79512230687908</v>
      </c>
      <c r="V38" s="142">
        <f t="shared" ref="V38:AE38" si="8">V22/V$37*100</f>
        <v>18.689860675159686</v>
      </c>
      <c r="W38" s="142">
        <f t="shared" si="8"/>
        <v>18.143349882987785</v>
      </c>
      <c r="X38" s="142">
        <f t="shared" si="8"/>
        <v>17.69168326805282</v>
      </c>
      <c r="Y38" s="142">
        <f t="shared" si="8"/>
        <v>16.828742060349324</v>
      </c>
      <c r="Z38" s="142">
        <f t="shared" si="8"/>
        <v>17.662208962787673</v>
      </c>
      <c r="AA38" s="142">
        <f t="shared" si="8"/>
        <v>16.936020058821502</v>
      </c>
      <c r="AB38" s="142">
        <f t="shared" si="8"/>
        <v>17.499539692173403</v>
      </c>
      <c r="AC38" s="142">
        <f t="shared" si="8"/>
        <v>16.948607918610502</v>
      </c>
      <c r="AD38" s="142">
        <f>AD22/AD$37*100</f>
        <v>17.317069547246305</v>
      </c>
      <c r="AE38" s="142">
        <f t="shared" si="8"/>
        <v>16.939637242408438</v>
      </c>
      <c r="AF38" s="142">
        <f t="shared" ref="AF38:AG38" si="9">AF22/AF$37*100</f>
        <v>17.541996159778499</v>
      </c>
      <c r="AG38" s="142">
        <f t="shared" si="9"/>
        <v>17.675991316872597</v>
      </c>
      <c r="AH38" s="142">
        <f t="shared" ref="AH38:AN38" si="10">AH22/AH$37*100</f>
        <v>18.9257923717295</v>
      </c>
      <c r="AI38" s="142">
        <f t="shared" si="10"/>
        <v>18.504673196056785</v>
      </c>
      <c r="AJ38" s="142">
        <f t="shared" si="10"/>
        <v>20.185560823756283</v>
      </c>
      <c r="AK38" s="142">
        <f t="shared" si="10"/>
        <v>19.255739067206814</v>
      </c>
      <c r="AL38" s="433">
        <f t="shared" si="10"/>
        <v>21.004208141015962</v>
      </c>
      <c r="AM38" s="142">
        <f t="shared" si="10"/>
        <v>20.637856234305563</v>
      </c>
      <c r="AN38" s="142">
        <f t="shared" si="10"/>
        <v>21.464580874063927</v>
      </c>
      <c r="AO38" s="142">
        <f t="shared" ref="AO38" si="11">AO22/AO$37*100</f>
        <v>21.912665261331213</v>
      </c>
      <c r="AP38" s="139"/>
      <c r="AQ38" s="139"/>
    </row>
    <row r="39" spans="4:43" x14ac:dyDescent="0.25">
      <c r="D39" s="146"/>
      <c r="E39" s="350"/>
      <c r="F39" s="352"/>
      <c r="G39" s="350"/>
      <c r="H39" s="352"/>
      <c r="I39" s="350"/>
      <c r="J39" s="484"/>
      <c r="K39" s="484"/>
      <c r="L39" s="484"/>
      <c r="M39" s="484"/>
      <c r="N39" s="484"/>
      <c r="O39" s="484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434"/>
      <c r="AM39" s="138"/>
      <c r="AN39" s="138"/>
      <c r="AO39" s="138"/>
      <c r="AP39" s="139"/>
      <c r="AQ39" s="139"/>
    </row>
    <row r="40" spans="4:43" x14ac:dyDescent="0.25">
      <c r="D40" s="196" t="s">
        <v>63</v>
      </c>
      <c r="E40" s="377">
        <f>MV_tab!E101</f>
        <v>586207</v>
      </c>
      <c r="F40" s="378">
        <f>MV_tab!F101</f>
        <v>626216</v>
      </c>
      <c r="G40" s="353"/>
      <c r="H40" s="375">
        <f>MV_tab!H101</f>
        <v>704967</v>
      </c>
      <c r="I40" s="376"/>
      <c r="J40" s="509">
        <f>MV_tab!J101</f>
        <v>699665</v>
      </c>
      <c r="K40" s="509">
        <f>MV_tab!K101</f>
        <v>769207</v>
      </c>
      <c r="L40" s="509">
        <f>MV_tab!L101</f>
        <v>866460</v>
      </c>
      <c r="M40" s="509">
        <f>MV_tab!M101</f>
        <v>819718</v>
      </c>
      <c r="N40" s="509">
        <f>MV_tab!N101</f>
        <v>884392</v>
      </c>
      <c r="O40" s="509">
        <f>MV_tab!O101</f>
        <v>923060</v>
      </c>
      <c r="P40" s="192">
        <f>MV_tab!P101</f>
        <v>1025883</v>
      </c>
      <c r="Q40" s="192">
        <f>MV_tab!Q101</f>
        <v>949477</v>
      </c>
      <c r="R40" s="192">
        <f>MV_tab!R101</f>
        <v>1063941</v>
      </c>
      <c r="S40" s="192">
        <f>MV_tab!S101</f>
        <v>1036511</v>
      </c>
      <c r="T40" s="192">
        <f>MV_tab!T101</f>
        <v>974615</v>
      </c>
      <c r="U40" s="192">
        <f>MV_tab!U101</f>
        <v>1114002</v>
      </c>
      <c r="V40" s="192">
        <f>MV_tab!V101</f>
        <v>1000377</v>
      </c>
      <c r="W40" s="192">
        <f>MV_tab!W101</f>
        <v>1022219</v>
      </c>
      <c r="X40" s="192">
        <f>MV_tab!X101</f>
        <v>1012755</v>
      </c>
      <c r="Y40" s="192">
        <f>MV_tab!Y101</f>
        <v>1055701</v>
      </c>
      <c r="Z40" s="192">
        <f>MV_tab!Z101</f>
        <v>1051387</v>
      </c>
      <c r="AA40" s="192">
        <f>MV_tab!AA101</f>
        <v>1084701</v>
      </c>
      <c r="AB40" s="192">
        <f>MV_tab!AB101</f>
        <v>1091863</v>
      </c>
      <c r="AC40" s="192">
        <f>MV_tab!AC101</f>
        <v>1076368</v>
      </c>
      <c r="AD40" s="192">
        <f>MV_tab!AD101</f>
        <v>1133826</v>
      </c>
      <c r="AE40" s="192">
        <f>MV_tab!AE101</f>
        <v>1099307</v>
      </c>
      <c r="AF40" s="192">
        <f>MV_tab!AF101</f>
        <v>1234517</v>
      </c>
      <c r="AG40" s="192">
        <f>MV_tab!AG101</f>
        <v>1118455</v>
      </c>
      <c r="AH40" s="192">
        <f>MV_tab!AH101</f>
        <v>1281618</v>
      </c>
      <c r="AI40" s="192">
        <f>MV_tab!AI101</f>
        <v>1180857</v>
      </c>
      <c r="AJ40" s="192">
        <f>MV_tab!AJ101</f>
        <v>1273644</v>
      </c>
      <c r="AK40" s="192">
        <f>MV_tab!AK101</f>
        <v>1249272</v>
      </c>
      <c r="AL40" s="534">
        <f>MV_tab!AL101</f>
        <v>1314498</v>
      </c>
      <c r="AM40" s="192">
        <f>MV_tab!AM101</f>
        <v>1403918</v>
      </c>
      <c r="AN40" s="192">
        <f>MV_tab!AN101</f>
        <v>1465359</v>
      </c>
      <c r="AO40" s="192">
        <f>MV_tab!AO101</f>
        <v>1578119</v>
      </c>
      <c r="AP40" s="139"/>
      <c r="AQ40" s="139"/>
    </row>
    <row r="41" spans="4:43" x14ac:dyDescent="0.25">
      <c r="D41" s="194" t="s">
        <v>47</v>
      </c>
      <c r="E41" s="347">
        <f>E22/E$40*100</f>
        <v>24.077160456971683</v>
      </c>
      <c r="F41" s="349">
        <f>F22/F$40*100</f>
        <v>28.167277744420456</v>
      </c>
      <c r="G41" s="347"/>
      <c r="H41" s="349">
        <f>H22/H$40*100</f>
        <v>24.911095129275555</v>
      </c>
      <c r="I41" s="347"/>
      <c r="J41" s="483">
        <f t="shared" ref="J41:Q41" si="12">J22/J$40*100</f>
        <v>26.439224486004015</v>
      </c>
      <c r="K41" s="483">
        <f t="shared" si="12"/>
        <v>24.801646370872859</v>
      </c>
      <c r="L41" s="483">
        <f t="shared" si="12"/>
        <v>23.780786187475474</v>
      </c>
      <c r="M41" s="483">
        <f t="shared" si="12"/>
        <v>24.608096930895748</v>
      </c>
      <c r="N41" s="483">
        <f t="shared" si="12"/>
        <v>23.888841147364516</v>
      </c>
      <c r="O41" s="483">
        <f>O22/O$40*100</f>
        <v>23.536389833813619</v>
      </c>
      <c r="P41" s="142">
        <f>P22/P$40*100</f>
        <v>21.452836239610171</v>
      </c>
      <c r="Q41" s="142">
        <f t="shared" si="12"/>
        <v>22.403280964151843</v>
      </c>
      <c r="R41" s="142">
        <f>R22/R$40*100</f>
        <v>20.278568078493077</v>
      </c>
      <c r="S41" s="142">
        <f>S22/S$40*100</f>
        <v>21.056988300172407</v>
      </c>
      <c r="T41" s="142">
        <f>T22/T$40*100</f>
        <v>23.487325764532663</v>
      </c>
      <c r="U41" s="142">
        <f>U22/U$40*100</f>
        <v>20.472135597602158</v>
      </c>
      <c r="V41" s="142">
        <f t="shared" ref="V41:AE41" si="13">V22/V$40*100</f>
        <v>21.612152218613584</v>
      </c>
      <c r="W41" s="142">
        <f t="shared" si="13"/>
        <v>21.031109771976457</v>
      </c>
      <c r="X41" s="142">
        <f t="shared" si="13"/>
        <v>20.185731001081209</v>
      </c>
      <c r="Y41" s="142">
        <f t="shared" si="13"/>
        <v>18.980753073076563</v>
      </c>
      <c r="Z41" s="142">
        <f t="shared" si="13"/>
        <v>19.358904000144573</v>
      </c>
      <c r="AA41" s="142">
        <f t="shared" si="13"/>
        <v>18.575441527204269</v>
      </c>
      <c r="AB41" s="142">
        <f t="shared" si="13"/>
        <v>18.80199255767436</v>
      </c>
      <c r="AC41" s="142">
        <f t="shared" si="13"/>
        <v>18.523218824788547</v>
      </c>
      <c r="AD41" s="142">
        <f>AD22/AD$40*100</f>
        <v>18.50504398382115</v>
      </c>
      <c r="AE41" s="142">
        <f t="shared" si="13"/>
        <v>18.670125815627479</v>
      </c>
      <c r="AF41" s="142">
        <f t="shared" ref="AF41" si="14">AF22/AF$40*100</f>
        <v>18.43441605097378</v>
      </c>
      <c r="AG41" s="142">
        <f t="shared" ref="AG41:AN41" si="15">AG22/AG$40*100</f>
        <v>19.25638492384584</v>
      </c>
      <c r="AH41" s="142">
        <f t="shared" si="15"/>
        <v>18.013568996299988</v>
      </c>
      <c r="AI41" s="142">
        <f t="shared" si="15"/>
        <v>19.60161137207977</v>
      </c>
      <c r="AJ41" s="142">
        <f t="shared" si="15"/>
        <v>20.283061828894102</v>
      </c>
      <c r="AK41" s="142">
        <f t="shared" si="15"/>
        <v>20.180553154156978</v>
      </c>
      <c r="AL41" s="433">
        <f t="shared" si="15"/>
        <v>21.803152229976767</v>
      </c>
      <c r="AM41" s="142">
        <f t="shared" ref="AM41" si="16">AM22/AM$40*100</f>
        <v>20.594578885661413</v>
      </c>
      <c r="AN41" s="142">
        <f t="shared" si="15"/>
        <v>22.050500935265692</v>
      </c>
      <c r="AO41" s="142">
        <f t="shared" ref="AO41" si="17">AO22/AO$40*100</f>
        <v>22.468077502393673</v>
      </c>
      <c r="AP41" s="139"/>
      <c r="AQ41" s="139"/>
    </row>
    <row r="43" spans="4:43" x14ac:dyDescent="0.25">
      <c r="D43" s="379" t="str">
        <f>MV_tab!D107</f>
        <v>*) HDP podle aktualizace  makroekonomické predikce z července 2019, aktualizace k 21. srpnu 2019</v>
      </c>
    </row>
    <row r="44" spans="4:43" x14ac:dyDescent="0.25">
      <c r="E44" s="357"/>
      <c r="F44" s="357"/>
      <c r="G44" s="357"/>
      <c r="H44" s="357"/>
      <c r="I44" s="357"/>
      <c r="J44" s="445"/>
      <c r="K44" s="445"/>
      <c r="L44" s="445"/>
      <c r="M44" s="445"/>
      <c r="N44" s="445"/>
      <c r="O44" s="445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511"/>
      <c r="AM44" s="147"/>
      <c r="AN44" s="147"/>
      <c r="AO44" s="147"/>
      <c r="AP44" s="147"/>
    </row>
  </sheetData>
  <mergeCells count="15">
    <mergeCell ref="AP15:AP16"/>
    <mergeCell ref="AQ15:AQ16"/>
    <mergeCell ref="X15:X16"/>
    <mergeCell ref="V15:V16"/>
    <mergeCell ref="T15:T16"/>
    <mergeCell ref="Z15:Z16"/>
    <mergeCell ref="AN15:AN16"/>
    <mergeCell ref="AF15:AF16"/>
    <mergeCell ref="AH15:AH16"/>
    <mergeCell ref="AJ15:AJ16"/>
    <mergeCell ref="AL15:AL16"/>
    <mergeCell ref="AD15:AD16"/>
    <mergeCell ref="AB15:AB16"/>
    <mergeCell ref="AM15:AM16"/>
    <mergeCell ref="AO15:AO16"/>
  </mergeCells>
  <phoneticPr fontId="0" type="noConversion"/>
  <printOptions horizontalCentered="1"/>
  <pageMargins left="0.51181102362204722" right="0.51181102362204722" top="0.70866141732283472" bottom="0.47244094488188981" header="0.55118110236220474" footer="0.31496062992125984"/>
  <pageSetup paperSize="9" scale="70" firstPageNumber="4" orientation="landscape" useFirstPageNumber="1" r:id="rId1"/>
  <headerFooter alignWithMargins="0">
    <oddFooter>&amp;CStrana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MV_tab</vt:lpstr>
      <vt:lpstr>quasiMV</vt:lpstr>
      <vt:lpstr>MV_tab!Názvy_tisku</vt:lpstr>
      <vt:lpstr>quasiMV!Názvy_tisku</vt:lpstr>
      <vt:lpstr>MV_tab!Oblast_tisku</vt:lpstr>
      <vt:lpstr>quasiMV!Oblast_tisku</vt:lpstr>
    </vt:vector>
  </TitlesOfParts>
  <Company>MF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BAKESK</dc:creator>
  <cp:lastModifiedBy>Šiman Jiří Ing.</cp:lastModifiedBy>
  <cp:lastPrinted>2019-09-29T11:40:35Z</cp:lastPrinted>
  <dcterms:created xsi:type="dcterms:W3CDTF">1999-04-29T08:12:31Z</dcterms:created>
  <dcterms:modified xsi:type="dcterms:W3CDTF">2019-09-29T11:40:38Z</dcterms:modified>
</cp:coreProperties>
</file>